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ilvan.junior\Smarques\Dropbox\Gilvan Personal Files\Aulas\Workshop\"/>
    </mc:Choice>
  </mc:AlternateContent>
  <bookViews>
    <workbookView xWindow="0" yWindow="0" windowWidth="20490" windowHeight="8115"/>
  </bookViews>
  <sheets>
    <sheet name="Inicio" sheetId="7" r:id="rId1"/>
    <sheet name="Simulação PERT" sheetId="1" r:id="rId2"/>
    <sheet name="Extrato" sheetId="2" r:id="rId3"/>
    <sheet name="Mestres" sheetId="4" r:id="rId4"/>
    <sheet name="Selic" sheetId="3" r:id="rId5"/>
  </sheets>
  <definedNames>
    <definedName name="_xlnm._FilterDatabase" localSheetId="2" hidden="1">Extrato!$A$4:$M$25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D6" i="1"/>
  <c r="C6" i="1"/>
  <c r="D5" i="1"/>
  <c r="C5" i="1"/>
  <c r="C20" i="1" l="1"/>
  <c r="D20" i="1"/>
  <c r="E20" i="1"/>
  <c r="G7" i="2"/>
  <c r="I7" i="2" s="1"/>
  <c r="G19" i="2"/>
  <c r="G25" i="2"/>
  <c r="I25" i="2" s="1"/>
  <c r="G6" i="2"/>
  <c r="I6" i="2" s="1"/>
  <c r="G5" i="2"/>
  <c r="I5" i="2" s="1"/>
  <c r="G24" i="2"/>
  <c r="I24" i="2" s="1"/>
  <c r="G18" i="2"/>
  <c r="I18" i="2" s="1"/>
  <c r="G23" i="2"/>
  <c r="I23" i="2" s="1"/>
  <c r="G17" i="2"/>
  <c r="I17" i="2" s="1"/>
  <c r="G16" i="2"/>
  <c r="I16" i="2" s="1"/>
  <c r="G15" i="2"/>
  <c r="I15" i="2" s="1"/>
  <c r="G14" i="2"/>
  <c r="I14" i="2" s="1"/>
  <c r="G22" i="2"/>
  <c r="I22" i="2" s="1"/>
  <c r="G13" i="2"/>
  <c r="I13" i="2" s="1"/>
  <c r="G12" i="2"/>
  <c r="I12" i="2" s="1"/>
  <c r="G11" i="2"/>
  <c r="G10" i="2"/>
  <c r="I10" i="2" s="1"/>
  <c r="G21" i="2"/>
  <c r="I21" i="2" s="1"/>
  <c r="G9" i="2"/>
  <c r="G8" i="2"/>
  <c r="I8" i="2" s="1"/>
  <c r="G20" i="2"/>
  <c r="I20" i="2" s="1"/>
  <c r="K10" i="2"/>
  <c r="F10" i="2"/>
  <c r="J10" i="2" s="1"/>
  <c r="K18" i="2"/>
  <c r="F18" i="2"/>
  <c r="J18" i="2" s="1"/>
  <c r="K17" i="2"/>
  <c r="F17" i="2"/>
  <c r="J17" i="2" s="1"/>
  <c r="K16" i="2"/>
  <c r="F16" i="2"/>
  <c r="J16" i="2" s="1"/>
  <c r="K15" i="2"/>
  <c r="F15" i="2"/>
  <c r="J15" i="2" s="1"/>
  <c r="K13" i="2"/>
  <c r="F13" i="2"/>
  <c r="J13" i="2" s="1"/>
  <c r="K12" i="2"/>
  <c r="F12" i="2"/>
  <c r="J12" i="2" s="1"/>
  <c r="K11" i="2"/>
  <c r="I11" i="2"/>
  <c r="F11" i="2"/>
  <c r="J11" i="2" s="1"/>
  <c r="K23" i="2"/>
  <c r="F23" i="2"/>
  <c r="J23" i="2" s="1"/>
  <c r="K22" i="2"/>
  <c r="F22" i="2"/>
  <c r="J22" i="2" s="1"/>
  <c r="F24" i="2"/>
  <c r="J24" i="2" s="1"/>
  <c r="F21" i="2"/>
  <c r="J21" i="2" s="1"/>
  <c r="I9" i="2"/>
  <c r="F9" i="2"/>
  <c r="J9" i="2" s="1"/>
  <c r="F14" i="2"/>
  <c r="J14" i="2" s="1"/>
  <c r="F20" i="2"/>
  <c r="J20" i="2" s="1"/>
  <c r="F8" i="2"/>
  <c r="J8" i="2" s="1"/>
  <c r="K24" i="2"/>
  <c r="K21" i="2"/>
  <c r="K9" i="2"/>
  <c r="K14" i="2"/>
  <c r="K20" i="2"/>
  <c r="K8" i="2"/>
  <c r="I19" i="2"/>
  <c r="F19" i="2"/>
  <c r="J19" i="2" s="1"/>
  <c r="F25" i="2"/>
  <c r="J25" i="2" s="1"/>
  <c r="F7" i="2"/>
  <c r="J7" i="2" s="1"/>
  <c r="F6" i="2"/>
  <c r="J6" i="2" s="1"/>
  <c r="F5" i="2"/>
  <c r="J5" i="2" s="1"/>
  <c r="K19" i="2"/>
  <c r="K25" i="2"/>
  <c r="K7" i="2"/>
  <c r="K6" i="2"/>
  <c r="K5" i="2"/>
  <c r="L10" i="2" l="1"/>
  <c r="L18" i="2"/>
  <c r="L17" i="2"/>
  <c r="L16" i="2"/>
  <c r="L15" i="2"/>
  <c r="L13" i="2"/>
  <c r="L11" i="2"/>
  <c r="L12" i="2"/>
  <c r="L19" i="2"/>
  <c r="L5" i="2"/>
  <c r="L6" i="2"/>
  <c r="L7" i="2"/>
  <c r="L25" i="2"/>
  <c r="L24" i="2"/>
  <c r="L20" i="2"/>
  <c r="L9" i="2"/>
  <c r="L23" i="2"/>
  <c r="L22" i="2"/>
  <c r="L8" i="2"/>
  <c r="L14" i="2"/>
  <c r="L21" i="2"/>
  <c r="E16" i="4"/>
  <c r="H22" i="1" l="1"/>
  <c r="H21" i="1"/>
  <c r="H15" i="1"/>
  <c r="H14" i="1"/>
  <c r="N13" i="1"/>
  <c r="H50" i="1"/>
  <c r="H13" i="1" s="1"/>
  <c r="K53" i="1"/>
  <c r="K54" i="1" s="1"/>
  <c r="H10" i="1"/>
  <c r="H9" i="1"/>
  <c r="H8" i="1"/>
  <c r="H7" i="1"/>
  <c r="L13" i="1" l="1"/>
  <c r="M13" i="1" s="1"/>
  <c r="B50" i="1"/>
  <c r="H6" i="1" s="1"/>
  <c r="E47" i="1"/>
  <c r="B33" i="1"/>
  <c r="H5" i="1" s="1"/>
  <c r="E15" i="4"/>
  <c r="B5" i="4"/>
  <c r="B6" i="4" s="1"/>
  <c r="B7" i="4" s="1"/>
  <c r="B8" i="4" s="1"/>
  <c r="B9" i="4" s="1"/>
  <c r="B10" i="4" s="1"/>
  <c r="E14" i="1"/>
  <c r="E12" i="1"/>
  <c r="B11" i="4" l="1"/>
  <c r="B12" i="4" s="1"/>
  <c r="B16" i="4" s="1"/>
  <c r="B17" i="4" s="1"/>
  <c r="B18" i="4" s="1"/>
  <c r="B19" i="4" s="1"/>
  <c r="B20" i="4" s="1"/>
  <c r="B21" i="4" s="1"/>
  <c r="B22" i="4" s="1"/>
  <c r="E11" i="1"/>
  <c r="B23" i="4" l="1"/>
  <c r="B24" i="4" s="1"/>
  <c r="H3" i="2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198" i="3"/>
  <c r="E197" i="3"/>
  <c r="E196" i="3"/>
  <c r="E195" i="3"/>
  <c r="E194" i="3"/>
  <c r="E193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192" i="3"/>
  <c r="A192" i="3"/>
  <c r="B191" i="3"/>
  <c r="A191" i="3"/>
  <c r="B190" i="3"/>
  <c r="A190" i="3"/>
  <c r="B189" i="3"/>
  <c r="A189" i="3"/>
  <c r="B188" i="3"/>
  <c r="A188" i="3"/>
  <c r="B187" i="3"/>
  <c r="A187" i="3"/>
  <c r="B186" i="3"/>
  <c r="A186" i="3"/>
  <c r="B185" i="3"/>
  <c r="A185" i="3"/>
  <c r="B184" i="3"/>
  <c r="A184" i="3"/>
  <c r="B183" i="3"/>
  <c r="A183" i="3"/>
  <c r="B182" i="3"/>
  <c r="A182" i="3"/>
  <c r="B181" i="3"/>
  <c r="A181" i="3"/>
  <c r="B180" i="3"/>
  <c r="A180" i="3"/>
  <c r="B179" i="3"/>
  <c r="A179" i="3"/>
  <c r="B178" i="3"/>
  <c r="A178" i="3"/>
  <c r="B177" i="3"/>
  <c r="A177" i="3"/>
  <c r="B176" i="3"/>
  <c r="A176" i="3"/>
  <c r="B175" i="3"/>
  <c r="A175" i="3"/>
  <c r="B174" i="3"/>
  <c r="A174" i="3"/>
  <c r="B173" i="3"/>
  <c r="A173" i="3"/>
  <c r="B172" i="3"/>
  <c r="A172" i="3"/>
  <c r="B171" i="3"/>
  <c r="A171" i="3"/>
  <c r="B170" i="3"/>
  <c r="A170" i="3"/>
  <c r="B169" i="3"/>
  <c r="A169" i="3"/>
  <c r="B168" i="3"/>
  <c r="A168" i="3"/>
  <c r="B167" i="3"/>
  <c r="A167" i="3"/>
  <c r="B166" i="3"/>
  <c r="A166" i="3"/>
  <c r="B165" i="3"/>
  <c r="A165" i="3"/>
  <c r="B164" i="3"/>
  <c r="A164" i="3"/>
  <c r="B163" i="3"/>
  <c r="A163" i="3"/>
  <c r="B162" i="3"/>
  <c r="A162" i="3"/>
  <c r="B161" i="3"/>
  <c r="A161" i="3"/>
  <c r="B160" i="3"/>
  <c r="A160" i="3"/>
  <c r="B159" i="3"/>
  <c r="A159" i="3"/>
  <c r="B158" i="3"/>
  <c r="A158" i="3"/>
  <c r="B157" i="3"/>
  <c r="A157" i="3"/>
  <c r="B156" i="3"/>
  <c r="A156" i="3"/>
  <c r="B155" i="3"/>
  <c r="A155" i="3"/>
  <c r="B154" i="3"/>
  <c r="A154" i="3"/>
  <c r="B153" i="3"/>
  <c r="A153" i="3"/>
  <c r="B152" i="3"/>
  <c r="A152" i="3"/>
  <c r="B151" i="3"/>
  <c r="A151" i="3"/>
  <c r="B150" i="3"/>
  <c r="A150" i="3"/>
  <c r="B149" i="3"/>
  <c r="A149" i="3"/>
  <c r="B148" i="3"/>
  <c r="A148" i="3"/>
  <c r="B147" i="3"/>
  <c r="A147" i="3"/>
  <c r="B146" i="3"/>
  <c r="A146" i="3"/>
  <c r="B145" i="3"/>
  <c r="A145" i="3"/>
  <c r="B144" i="3"/>
  <c r="A144" i="3"/>
  <c r="B143" i="3"/>
  <c r="A143" i="3"/>
  <c r="B142" i="3"/>
  <c r="A142" i="3"/>
  <c r="B141" i="3"/>
  <c r="A141" i="3"/>
  <c r="B140" i="3"/>
  <c r="A140" i="3"/>
  <c r="B139" i="3"/>
  <c r="A139" i="3"/>
  <c r="B138" i="3"/>
  <c r="A138" i="3"/>
  <c r="B137" i="3"/>
  <c r="A137" i="3"/>
  <c r="B136" i="3"/>
  <c r="A136" i="3"/>
  <c r="B135" i="3"/>
  <c r="A135" i="3"/>
  <c r="B134" i="3"/>
  <c r="A134" i="3"/>
  <c r="B133" i="3"/>
  <c r="A133" i="3"/>
  <c r="B132" i="3"/>
  <c r="A132" i="3"/>
  <c r="B131" i="3"/>
  <c r="A131" i="3"/>
  <c r="B130" i="3"/>
  <c r="A130" i="3"/>
  <c r="B129" i="3"/>
  <c r="A129" i="3"/>
  <c r="L128" i="3"/>
  <c r="M128" i="3" s="1"/>
  <c r="B128" i="3"/>
  <c r="A128" i="3"/>
  <c r="B127" i="3"/>
  <c r="A127" i="3"/>
  <c r="B126" i="3"/>
  <c r="A126" i="3"/>
  <c r="B125" i="3"/>
  <c r="A125" i="3"/>
  <c r="B124" i="3"/>
  <c r="A124" i="3"/>
  <c r="B123" i="3"/>
  <c r="A123" i="3"/>
  <c r="B122" i="3"/>
  <c r="A122" i="3"/>
  <c r="B121" i="3"/>
  <c r="A121" i="3"/>
  <c r="B120" i="3"/>
  <c r="A120" i="3"/>
  <c r="B119" i="3"/>
  <c r="A119" i="3"/>
  <c r="B118" i="3"/>
  <c r="A118" i="3"/>
  <c r="B117" i="3"/>
  <c r="A117" i="3"/>
  <c r="B116" i="3"/>
  <c r="A116" i="3"/>
  <c r="B115" i="3"/>
  <c r="A115" i="3"/>
  <c r="B114" i="3"/>
  <c r="A114" i="3"/>
  <c r="B113" i="3"/>
  <c r="A113" i="3"/>
  <c r="B112" i="3"/>
  <c r="A112" i="3"/>
  <c r="B111" i="3"/>
  <c r="A111" i="3"/>
  <c r="B110" i="3"/>
  <c r="A110" i="3"/>
  <c r="B109" i="3"/>
  <c r="A109" i="3"/>
  <c r="B108" i="3"/>
  <c r="A108" i="3"/>
  <c r="B107" i="3"/>
  <c r="A107" i="3"/>
  <c r="B106" i="3"/>
  <c r="A106" i="3"/>
  <c r="B105" i="3"/>
  <c r="A105" i="3"/>
  <c r="B104" i="3"/>
  <c r="A104" i="3"/>
  <c r="B103" i="3"/>
  <c r="A103" i="3"/>
  <c r="B102" i="3"/>
  <c r="A102" i="3"/>
  <c r="B101" i="3"/>
  <c r="A101" i="3"/>
  <c r="B100" i="3"/>
  <c r="A100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87" i="3"/>
  <c r="A87" i="3"/>
  <c r="B86" i="3"/>
  <c r="A86" i="3"/>
  <c r="B85" i="3"/>
  <c r="A85" i="3"/>
  <c r="B84" i="3"/>
  <c r="A84" i="3"/>
  <c r="B83" i="3"/>
  <c r="A83" i="3"/>
  <c r="B82" i="3"/>
  <c r="A82" i="3"/>
  <c r="B81" i="3"/>
  <c r="A81" i="3"/>
  <c r="B80" i="3"/>
  <c r="A80" i="3"/>
  <c r="B79" i="3"/>
  <c r="A79" i="3"/>
  <c r="B78" i="3"/>
  <c r="A78" i="3"/>
  <c r="B77" i="3"/>
  <c r="A77" i="3"/>
  <c r="B76" i="3"/>
  <c r="A76" i="3"/>
  <c r="B75" i="3"/>
  <c r="A75" i="3"/>
  <c r="B74" i="3"/>
  <c r="A74" i="3"/>
  <c r="B73" i="3"/>
  <c r="A73" i="3"/>
  <c r="B72" i="3"/>
  <c r="A72" i="3"/>
  <c r="B71" i="3"/>
  <c r="A71" i="3"/>
  <c r="B70" i="3"/>
  <c r="A70" i="3"/>
  <c r="B69" i="3"/>
  <c r="A69" i="3"/>
  <c r="B68" i="3"/>
  <c r="A68" i="3"/>
  <c r="B67" i="3"/>
  <c r="A67" i="3"/>
  <c r="B66" i="3"/>
  <c r="A66" i="3"/>
  <c r="B65" i="3"/>
  <c r="A65" i="3"/>
  <c r="B64" i="3"/>
  <c r="A64" i="3"/>
  <c r="B63" i="3"/>
  <c r="A63" i="3"/>
  <c r="B62" i="3"/>
  <c r="A62" i="3"/>
  <c r="B61" i="3"/>
  <c r="A61" i="3"/>
  <c r="B60" i="3"/>
  <c r="A60" i="3"/>
  <c r="B59" i="3"/>
  <c r="A59" i="3"/>
  <c r="B58" i="3"/>
  <c r="A58" i="3"/>
  <c r="B57" i="3"/>
  <c r="A57" i="3"/>
  <c r="B56" i="3"/>
  <c r="A56" i="3"/>
  <c r="B55" i="3"/>
  <c r="A55" i="3"/>
  <c r="B54" i="3"/>
  <c r="A54" i="3"/>
  <c r="B53" i="3"/>
  <c r="A53" i="3"/>
  <c r="B52" i="3"/>
  <c r="A52" i="3"/>
  <c r="B51" i="3"/>
  <c r="A51" i="3"/>
  <c r="B50" i="3"/>
  <c r="A50" i="3"/>
  <c r="B49" i="3"/>
  <c r="A49" i="3"/>
  <c r="B48" i="3"/>
  <c r="A48" i="3"/>
  <c r="B47" i="3"/>
  <c r="A47" i="3"/>
  <c r="B46" i="3"/>
  <c r="A46" i="3"/>
  <c r="B45" i="3"/>
  <c r="A45" i="3"/>
  <c r="B44" i="3"/>
  <c r="A44" i="3"/>
  <c r="B43" i="3"/>
  <c r="A43" i="3"/>
  <c r="B42" i="3"/>
  <c r="A42" i="3"/>
  <c r="B41" i="3"/>
  <c r="A41" i="3"/>
  <c r="B40" i="3"/>
  <c r="A40" i="3"/>
  <c r="B39" i="3"/>
  <c r="A39" i="3"/>
  <c r="B38" i="3"/>
  <c r="A38" i="3"/>
  <c r="B37" i="3"/>
  <c r="A37" i="3"/>
  <c r="B36" i="3"/>
  <c r="A36" i="3"/>
  <c r="B35" i="3"/>
  <c r="A35" i="3"/>
  <c r="B34" i="3"/>
  <c r="A34" i="3"/>
  <c r="B33" i="3"/>
  <c r="A33" i="3"/>
  <c r="B32" i="3"/>
  <c r="A32" i="3"/>
  <c r="B31" i="3"/>
  <c r="A31" i="3"/>
  <c r="B30" i="3"/>
  <c r="A30" i="3"/>
  <c r="B29" i="3"/>
  <c r="A29" i="3"/>
  <c r="B28" i="3"/>
  <c r="A28" i="3"/>
  <c r="B27" i="3"/>
  <c r="A27" i="3"/>
  <c r="B26" i="3"/>
  <c r="A26" i="3"/>
  <c r="B25" i="3"/>
  <c r="A25" i="3"/>
  <c r="B24" i="3"/>
  <c r="A24" i="3"/>
  <c r="B23" i="3"/>
  <c r="A23" i="3"/>
  <c r="B22" i="3"/>
  <c r="A22" i="3"/>
  <c r="B21" i="3"/>
  <c r="A21" i="3"/>
  <c r="B20" i="3"/>
  <c r="A20" i="3"/>
  <c r="B19" i="3"/>
  <c r="A19" i="3"/>
  <c r="B18" i="3"/>
  <c r="A18" i="3"/>
  <c r="B17" i="3"/>
  <c r="A17" i="3"/>
  <c r="B16" i="3"/>
  <c r="A16" i="3"/>
  <c r="B15" i="3"/>
  <c r="A15" i="3"/>
  <c r="B14" i="3"/>
  <c r="A14" i="3"/>
  <c r="B13" i="3"/>
  <c r="A13" i="3"/>
  <c r="B12" i="3"/>
  <c r="A12" i="3"/>
  <c r="B11" i="3"/>
  <c r="A11" i="3"/>
  <c r="B10" i="3"/>
  <c r="A10" i="3"/>
  <c r="B9" i="3"/>
  <c r="A9" i="3"/>
  <c r="B8" i="3"/>
  <c r="A8" i="3"/>
  <c r="E4" i="1" l="1"/>
  <c r="K3" i="2"/>
  <c r="D15" i="1" l="1"/>
  <c r="E7" i="1"/>
  <c r="I3" i="2"/>
  <c r="J3" i="2"/>
  <c r="E13" i="1" l="1"/>
  <c r="E15" i="1" s="1"/>
  <c r="C15" i="1"/>
  <c r="D8" i="1"/>
  <c r="E5" i="1"/>
  <c r="E6" i="1"/>
  <c r="C8" i="1"/>
  <c r="L3" i="2"/>
  <c r="E8" i="1" l="1"/>
  <c r="D22" i="1"/>
  <c r="C22" i="1"/>
  <c r="K56" i="1" l="1"/>
  <c r="E26" i="1"/>
  <c r="K72" i="1" s="1"/>
  <c r="K73" i="1" s="1"/>
  <c r="E22" i="1"/>
  <c r="K74" i="1" l="1"/>
  <c r="L15" i="1"/>
  <c r="K93" i="1"/>
  <c r="K83" i="1"/>
  <c r="K91" i="1"/>
  <c r="K81" i="1"/>
  <c r="K92" i="1"/>
  <c r="K82" i="1"/>
  <c r="K76" i="1"/>
  <c r="E72" i="1"/>
  <c r="E53" i="1"/>
  <c r="E35" i="1"/>
  <c r="K36" i="1"/>
  <c r="K94" i="1" l="1"/>
  <c r="N21" i="1" s="1"/>
  <c r="K84" i="1"/>
  <c r="N15" i="1" s="1"/>
  <c r="L21" i="1"/>
  <c r="M15" i="1"/>
  <c r="K77" i="1"/>
  <c r="K102" i="1"/>
  <c r="K59" i="1"/>
  <c r="K61" i="1"/>
  <c r="K60" i="1"/>
  <c r="K101" i="1"/>
  <c r="K103" i="1"/>
  <c r="E73" i="1"/>
  <c r="E76" i="1" s="1"/>
  <c r="E83" i="1"/>
  <c r="E82" i="1"/>
  <c r="E81" i="1"/>
  <c r="E56" i="1"/>
  <c r="L6" i="1"/>
  <c r="E101" i="1"/>
  <c r="E102" i="1"/>
  <c r="E103" i="1"/>
  <c r="E36" i="1"/>
  <c r="E37" i="1" s="1"/>
  <c r="E91" i="1"/>
  <c r="E93" i="1"/>
  <c r="E92" i="1"/>
  <c r="K37" i="1"/>
  <c r="E59" i="1"/>
  <c r="E60" i="1"/>
  <c r="E61" i="1"/>
  <c r="E42" i="1"/>
  <c r="K43" i="1"/>
  <c r="K42" i="1"/>
  <c r="K44" i="1"/>
  <c r="E43" i="1"/>
  <c r="E44" i="1"/>
  <c r="K97" i="1" l="1"/>
  <c r="Q21" i="1" s="1"/>
  <c r="K87" i="1"/>
  <c r="Q15" i="1" s="1"/>
  <c r="O21" i="1"/>
  <c r="O15" i="1"/>
  <c r="L22" i="1"/>
  <c r="M22" i="1" s="1"/>
  <c r="M21" i="1"/>
  <c r="L8" i="1"/>
  <c r="E74" i="1"/>
  <c r="K62" i="1"/>
  <c r="K57" i="1" s="1"/>
  <c r="O13" i="1" s="1"/>
  <c r="K104" i="1"/>
  <c r="M6" i="1"/>
  <c r="E77" i="1"/>
  <c r="O6" i="1"/>
  <c r="E39" i="1"/>
  <c r="E40" i="1" s="1"/>
  <c r="E48" i="1" s="1"/>
  <c r="L5" i="1"/>
  <c r="E104" i="1"/>
  <c r="E94" i="1"/>
  <c r="E84" i="1"/>
  <c r="E62" i="1"/>
  <c r="N6" i="1" s="1"/>
  <c r="K45" i="1"/>
  <c r="K40" i="1" s="1"/>
  <c r="K48" i="1" s="1"/>
  <c r="E45" i="1"/>
  <c r="N5" i="1" s="1"/>
  <c r="M5" i="1" l="1"/>
  <c r="M8" i="1"/>
  <c r="L9" i="1"/>
  <c r="K107" i="1"/>
  <c r="Q22" i="1" s="1"/>
  <c r="N22" i="1"/>
  <c r="K65" i="1"/>
  <c r="Q13" i="1" s="1"/>
  <c r="K66" i="1"/>
  <c r="K67" i="1"/>
  <c r="P8" i="1"/>
  <c r="E97" i="1"/>
  <c r="Q9" i="1" s="1"/>
  <c r="O5" i="1"/>
  <c r="P5" i="1"/>
  <c r="Q5" i="1"/>
  <c r="E107" i="1"/>
  <c r="Q10" i="1" s="1"/>
  <c r="N10" i="1"/>
  <c r="N9" i="1"/>
  <c r="E87" i="1"/>
  <c r="Q8" i="1" s="1"/>
  <c r="N8" i="1"/>
  <c r="M9" i="1"/>
  <c r="E54" i="1"/>
  <c r="E57" i="1"/>
  <c r="P6" i="1" s="1"/>
  <c r="O22" i="1" l="1"/>
  <c r="P9" i="1"/>
  <c r="O10" i="1"/>
  <c r="L10" i="1"/>
  <c r="K68" i="1"/>
  <c r="R13" i="1" s="1"/>
  <c r="O9" i="1"/>
  <c r="O8" i="1"/>
  <c r="E66" i="1"/>
  <c r="E67" i="1"/>
  <c r="E65" i="1"/>
  <c r="Q6" i="1" s="1"/>
  <c r="M10" i="1" l="1"/>
  <c r="P10" i="1"/>
  <c r="E68" i="1"/>
  <c r="R6" i="1" s="1"/>
</calcChain>
</file>

<file path=xl/comments1.xml><?xml version="1.0" encoding="utf-8"?>
<comments xmlns="http://schemas.openxmlformats.org/spreadsheetml/2006/main">
  <authors>
    <author>Gilvan Sousa Marques Junior</author>
  </authors>
  <commentList>
    <comment ref="E77" authorId="0" shapeId="0">
      <text>
        <r>
          <rPr>
            <b/>
            <sz val="9"/>
            <color indexed="81"/>
            <rFont val="Segoe UI"/>
            <family val="2"/>
          </rPr>
          <t>Gilvan Sousa Marques Junior:</t>
        </r>
        <r>
          <rPr>
            <sz val="9"/>
            <color indexed="81"/>
            <rFont val="Segoe UI"/>
            <family val="2"/>
          </rPr>
          <t xml:space="preserve">
Atentar possibilidade de utilização do crédito Fiscal.
A Planilha foi ajustada para compensar o prejuízo fiscal, porém, o sistema da receita não deixou claro a possibilidade prevista na MP</t>
        </r>
      </text>
    </comment>
  </commentList>
</comments>
</file>

<file path=xl/sharedStrings.xml><?xml version="1.0" encoding="utf-8"?>
<sst xmlns="http://schemas.openxmlformats.org/spreadsheetml/2006/main" count="328" uniqueCount="119">
  <si>
    <t>Principal</t>
  </si>
  <si>
    <t>Juros</t>
  </si>
  <si>
    <t>Multa</t>
  </si>
  <si>
    <t>Outros Encargos</t>
  </si>
  <si>
    <t>Receita</t>
  </si>
  <si>
    <t>PGFN</t>
  </si>
  <si>
    <t>Total</t>
  </si>
  <si>
    <t>Tributo</t>
  </si>
  <si>
    <t>Competencia</t>
  </si>
  <si>
    <t>Vencimento</t>
  </si>
  <si>
    <t>Conta Corrente</t>
  </si>
  <si>
    <t>Dívida Ativa</t>
  </si>
  <si>
    <t>IRPJ-LP</t>
  </si>
  <si>
    <t>COFINS</t>
  </si>
  <si>
    <t>CSLL-LP</t>
  </si>
  <si>
    <t>SISTEMA ESPECIAL DE LIQUIDAÇÃO E CUSTÓDIA - SELIC</t>
  </si>
  <si>
    <t>Meta da Taxa Selic</t>
  </si>
  <si>
    <t>Mês de referência</t>
  </si>
  <si>
    <t>Taxa</t>
  </si>
  <si>
    <t>Taxa anual</t>
  </si>
  <si>
    <t>Taxa acumulada no Ano - %</t>
  </si>
  <si>
    <t>Taxa acumulada em 12 Meses - %</t>
  </si>
  <si>
    <t>Fator diário</t>
  </si>
  <si>
    <t>Mensalizada</t>
  </si>
  <si>
    <t>%</t>
  </si>
  <si>
    <t>(*)</t>
  </si>
  <si>
    <t>VALORES REAIS (1) - "Ano-Calendário"</t>
  </si>
  <si>
    <t>VALORES OFICIAIS (2)</t>
  </si>
  <si>
    <t> 1,6020</t>
  </si>
  <si>
    <t>Outros</t>
  </si>
  <si>
    <t>Dias</t>
  </si>
  <si>
    <t>Data Base:</t>
  </si>
  <si>
    <t>Selic Ac</t>
  </si>
  <si>
    <t>Total a Parcelar</t>
  </si>
  <si>
    <t>Modalidade</t>
  </si>
  <si>
    <t>Status</t>
  </si>
  <si>
    <t>Não Parcelados</t>
  </si>
  <si>
    <t>Parcelados</t>
  </si>
  <si>
    <t>Sub-Total N/Prc.</t>
  </si>
  <si>
    <t>Sub-Total Parc.</t>
  </si>
  <si>
    <t>Cod</t>
  </si>
  <si>
    <t>Condição</t>
  </si>
  <si>
    <t>% Sinal</t>
  </si>
  <si>
    <t>Sinal</t>
  </si>
  <si>
    <t>Prejuizo</t>
  </si>
  <si>
    <t>Art. 2-I - Sinal de 20% em 5X + Crédito de Prej. Fiscal, saldo em 60x</t>
  </si>
  <si>
    <t>SIM</t>
  </si>
  <si>
    <t>Art. 2-II - Dívida Consolidada em 120x</t>
  </si>
  <si>
    <t>NÃO</t>
  </si>
  <si>
    <t>Art. 2-III-a. - Sinal de 20% em 5X + Quitação do Saldo em Janeiro.2018</t>
  </si>
  <si>
    <t>Art. 2-III-b. - Sinal de 20% em 5X + Quitação do Saldo em 145x</t>
  </si>
  <si>
    <t>Art. 2-III-b. - Sinal de 20% em 5X + Quitação do Saldo em 175x</t>
  </si>
  <si>
    <t>Art. 3-I - Pagamento em 120x</t>
  </si>
  <si>
    <t>Art. 3-II-a. - Sinal de 20% em 5x e Liquidação de Saldo em Janeiro.2018</t>
  </si>
  <si>
    <t>Art. 3-II-b. - Sinal de 20% em 5x e Liquidação de Saldo em 145x</t>
  </si>
  <si>
    <t>Art. 3-II-c. - Sinal de 20% em 5x e Liquidação de Saldo em 175x</t>
  </si>
  <si>
    <t>Art. 2-I - Sinal de 7,5% em 5X + Crédito de Prej. Fiscal, saldo em 60x</t>
  </si>
  <si>
    <t>Art. 3-II-a. - Sinal de 7,5% em 5x e Liquidação de Saldo em Janeiro.2018</t>
  </si>
  <si>
    <t>Art. 3-II-b. - Sinal de 7,5% em 5x e Liquidação de Saldo em 145x</t>
  </si>
  <si>
    <t>Art. 3-II-c. - Sinal de 7,5% em 5x e Liquidação de Saldo em 175x</t>
  </si>
  <si>
    <t>PARCELAMENTO PERT</t>
  </si>
  <si>
    <t>Acima de R$ 15 MM</t>
  </si>
  <si>
    <t>Crédito de Prejuizo Fiscal R$</t>
  </si>
  <si>
    <t>Opções:</t>
  </si>
  <si>
    <t>Sinal %</t>
  </si>
  <si>
    <t>Valor do Sinal R$</t>
  </si>
  <si>
    <t>Sinal/5x R$</t>
  </si>
  <si>
    <t>RECEITA FEDERAL</t>
  </si>
  <si>
    <t>Saldo Remanescente R$</t>
  </si>
  <si>
    <t>Saldo após utilização de Créd. PF e BN CSLL</t>
  </si>
  <si>
    <t>Total Reduções</t>
  </si>
  <si>
    <t>Número de Parcelas</t>
  </si>
  <si>
    <t>Valor das Parcelas</t>
  </si>
  <si>
    <t>DÍVIDA ATIVA</t>
  </si>
  <si>
    <t>a. da 1ª à 12ª</t>
  </si>
  <si>
    <t>b. da 13ª à 24ª</t>
  </si>
  <si>
    <t>c. da 25ª à 36ª</t>
  </si>
  <si>
    <t>d. &gt; 37ª - Até 84x</t>
  </si>
  <si>
    <t>Art. 2-III- Sinal de 20%/7,5% da Dívida Consolidada em 5x e saldo em:</t>
  </si>
  <si>
    <t>a. Quitação em Janeiro de 2018</t>
  </si>
  <si>
    <t>b. Saldo em 145 Parcelas</t>
  </si>
  <si>
    <t>c. Saldo em 175 Parcelas</t>
  </si>
  <si>
    <t>Resumo</t>
  </si>
  <si>
    <t>Receita Federal</t>
  </si>
  <si>
    <t>Parcela</t>
  </si>
  <si>
    <t>Reduções</t>
  </si>
  <si>
    <t>Saldo</t>
  </si>
  <si>
    <t>Remanescente</t>
  </si>
  <si>
    <t>Cred.</t>
  </si>
  <si>
    <t>Prej. Fiscal</t>
  </si>
  <si>
    <t>Mensal</t>
  </si>
  <si>
    <t>Dívida Ativa - PGFN</t>
  </si>
  <si>
    <t xml:space="preserve">NÃO APLICA - Art. 2-I - Sinal de 7,5% em 5X + Crédito de Prej. Fiscal, saldo em 60x </t>
  </si>
  <si>
    <t>Art. 3-III- Sinal de 20%/7,5% da Dívida Consolidada em 5x e saldo em:</t>
  </si>
  <si>
    <t>PERT - Programa Especial de Regularização Tributária - MP 783 - Maio.2017</t>
  </si>
  <si>
    <t>Insc</t>
  </si>
  <si>
    <t>51 6 16 001684-12</t>
  </si>
  <si>
    <t>51 6 16 001807-06</t>
  </si>
  <si>
    <t>Art. 2-III-a. - Sinal de 7,5% em 5X + Quitação do Saldo em Janeiro.2018</t>
  </si>
  <si>
    <t>Art. 2-III-b. - Sinal de 7,5% em 5X + Quitação do Saldo em 145x</t>
  </si>
  <si>
    <t>Art. 2-III-b. - Sinal de 7,5% em 5X + Quitação do Saldo em 175x</t>
  </si>
  <si>
    <t>&gt; R$15.000.000,00</t>
  </si>
  <si>
    <t>Até R$ 15.000.000,00</t>
  </si>
  <si>
    <t>Cliente</t>
  </si>
  <si>
    <t>cliente modelo 1</t>
  </si>
  <si>
    <t>Estimativa para Atualização dos Valores</t>
  </si>
  <si>
    <t>(valores aproximados, recomendação: usar SICALC)</t>
  </si>
  <si>
    <t>Planilha para Auxílio no calculo do PERT</t>
  </si>
  <si>
    <t>Programa Especial de Regularização Tributária -MP783</t>
  </si>
  <si>
    <t>Orientações para Preenchimento da Planilha</t>
  </si>
  <si>
    <t>1. Objetivo da Planilha</t>
  </si>
  <si>
    <t>2. Critérios Observados</t>
  </si>
  <si>
    <t>A planilha foi desenhada com as instruções da MP 783.</t>
  </si>
  <si>
    <t>Auxiliar o contribuinte na escolher a modalidade de parcelamento de acordo com seu planejamento financeiro/caixa.</t>
  </si>
  <si>
    <t>3. Atualização dos valores.</t>
  </si>
  <si>
    <t>Na planilha extrato o contribuinte poderá ter uma estimativa da atualização dos encargos por atraso, porém, recomendamos a utilização do SICALC no momento da adesão.</t>
  </si>
  <si>
    <t>4.Feedback</t>
  </si>
  <si>
    <t>A planilha foi elaborada com objetivo de auxiliar o contador e o contribuinte. Feedbacks são bem vindos!!</t>
  </si>
  <si>
    <t>&gt; Após 37ª Parcela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</si>
</sst>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\-mmm\-yy"/>
    <numFmt numFmtId="165" formatCode="0.00000"/>
    <numFmt numFmtId="166" formatCode="0.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Century Gothic"/>
      <family val="2"/>
    </font>
    <font>
      <sz val="10"/>
      <color indexed="8"/>
      <name val="Arial"/>
      <family val="2"/>
    </font>
    <font>
      <b/>
      <sz val="10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i/>
      <sz val="7.5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sz val="8"/>
      <color indexed="8"/>
      <name val="Century Gothic"/>
      <family val="2"/>
    </font>
    <font>
      <b/>
      <sz val="9"/>
      <color indexed="8"/>
      <name val="Century Gothic"/>
      <family val="2"/>
    </font>
    <font>
      <i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entury Gothic"/>
      <family val="2"/>
    </font>
    <font>
      <b/>
      <sz val="9"/>
      <color theme="1"/>
      <name val="Century Gothic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66CC"/>
      </left>
      <right/>
      <top style="thin">
        <color rgb="FF0066CC"/>
      </top>
      <bottom style="thin">
        <color rgb="FF0066CC"/>
      </bottom>
      <diagonal/>
    </border>
    <border>
      <left/>
      <right/>
      <top style="thin">
        <color rgb="FF0066CC"/>
      </top>
      <bottom style="thin">
        <color rgb="FF0066CC"/>
      </bottom>
      <diagonal/>
    </border>
    <border>
      <left/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 style="thin">
        <color rgb="FF0066CC"/>
      </bottom>
      <diagonal/>
    </border>
    <border>
      <left style="thin">
        <color rgb="FF0066CC"/>
      </left>
      <right style="thin">
        <color rgb="FF0066CC"/>
      </right>
      <top style="thin">
        <color rgb="FF0066CC"/>
      </top>
      <bottom/>
      <diagonal/>
    </border>
    <border>
      <left style="thin">
        <color rgb="FF0066CC"/>
      </left>
      <right style="thin">
        <color rgb="FF0066CC"/>
      </right>
      <top/>
      <bottom/>
      <diagonal/>
    </border>
    <border>
      <left style="thin">
        <color rgb="FF0066CC"/>
      </left>
      <right style="thin">
        <color rgb="FF0066CC"/>
      </right>
      <top/>
      <bottom style="thin">
        <color rgb="FF0066C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43" fontId="0" fillId="0" borderId="0" xfId="1" applyFont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0" fillId="0" borderId="0" xfId="0" applyAlignment="1">
      <alignment horizontal="left" indent="1"/>
    </xf>
    <xf numFmtId="0" fontId="0" fillId="0" borderId="0" xfId="0" applyAlignment="1"/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7" fontId="6" fillId="3" borderId="6" xfId="0" applyNumberFormat="1" applyFont="1" applyFill="1" applyBorder="1" applyAlignment="1">
      <alignment horizontal="center" vertical="center"/>
    </xf>
    <xf numFmtId="165" fontId="9" fillId="4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165" fontId="9" fillId="5" borderId="6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6" fillId="3" borderId="3" xfId="0" applyFont="1" applyFill="1" applyBorder="1" applyAlignment="1">
      <alignment horizontal="left" vertical="center"/>
    </xf>
    <xf numFmtId="43" fontId="0" fillId="0" borderId="0" xfId="0" applyNumberFormat="1"/>
    <xf numFmtId="0" fontId="12" fillId="2" borderId="10" xfId="4" applyFont="1" applyFill="1" applyBorder="1" applyAlignment="1">
      <alignment horizontal="center"/>
    </xf>
    <xf numFmtId="0" fontId="12" fillId="2" borderId="10" xfId="4" applyFont="1" applyFill="1" applyBorder="1" applyAlignment="1">
      <alignment horizontal="left"/>
    </xf>
    <xf numFmtId="0" fontId="0" fillId="0" borderId="10" xfId="0" applyBorder="1"/>
    <xf numFmtId="0" fontId="12" fillId="0" borderId="11" xfId="4" applyFont="1" applyFill="1" applyBorder="1" applyAlignment="1"/>
    <xf numFmtId="166" fontId="0" fillId="0" borderId="0" xfId="2" applyNumberFormat="1" applyFont="1"/>
    <xf numFmtId="0" fontId="0" fillId="0" borderId="0" xfId="0" applyAlignment="1">
      <alignment horizontal="left" indent="2"/>
    </xf>
    <xf numFmtId="0" fontId="3" fillId="6" borderId="1" xfId="0" applyFont="1" applyFill="1" applyBorder="1"/>
    <xf numFmtId="43" fontId="0" fillId="6" borderId="1" xfId="1" applyFont="1" applyFill="1" applyBorder="1"/>
    <xf numFmtId="0" fontId="3" fillId="0" borderId="0" xfId="0" applyFont="1" applyAlignment="1">
      <alignment horizontal="left" indent="2"/>
    </xf>
    <xf numFmtId="0" fontId="13" fillId="0" borderId="0" xfId="0" applyFont="1" applyAlignment="1">
      <alignment horizontal="left" indent="2"/>
    </xf>
    <xf numFmtId="0" fontId="13" fillId="0" borderId="0" xfId="0" applyFont="1"/>
    <xf numFmtId="43" fontId="13" fillId="0" borderId="0" xfId="0" applyNumberFormat="1" applyFont="1"/>
    <xf numFmtId="43" fontId="3" fillId="0" borderId="2" xfId="0" applyNumberFormat="1" applyFont="1" applyBorder="1"/>
    <xf numFmtId="43" fontId="14" fillId="0" borderId="0" xfId="0" applyNumberFormat="1" applyFont="1"/>
    <xf numFmtId="9" fontId="0" fillId="0" borderId="0" xfId="0" applyNumberFormat="1" applyAlignment="1">
      <alignment horizontal="left"/>
    </xf>
    <xf numFmtId="43" fontId="3" fillId="0" borderId="12" xfId="0" applyNumberFormat="1" applyFont="1" applyBorder="1"/>
    <xf numFmtId="0" fontId="3" fillId="0" borderId="0" xfId="0" applyFont="1" applyAlignment="1">
      <alignment horizontal="center"/>
    </xf>
    <xf numFmtId="43" fontId="0" fillId="0" borderId="0" xfId="0" applyNumberFormat="1" applyFont="1" applyBorder="1"/>
    <xf numFmtId="0" fontId="15" fillId="0" borderId="0" xfId="0" applyFont="1" applyAlignment="1">
      <alignment horizontal="left" indent="3"/>
    </xf>
    <xf numFmtId="10" fontId="15" fillId="0" borderId="0" xfId="0" applyNumberFormat="1" applyFont="1"/>
    <xf numFmtId="43" fontId="14" fillId="0" borderId="0" xfId="1" applyFont="1" applyBorder="1"/>
    <xf numFmtId="43" fontId="16" fillId="0" borderId="0" xfId="0" applyNumberFormat="1" applyFont="1"/>
    <xf numFmtId="0" fontId="0" fillId="8" borderId="0" xfId="0" applyFill="1"/>
    <xf numFmtId="43" fontId="17" fillId="0" borderId="0" xfId="0" applyNumberFormat="1" applyFont="1"/>
    <xf numFmtId="0" fontId="3" fillId="0" borderId="0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indent="1"/>
    </xf>
    <xf numFmtId="43" fontId="3" fillId="0" borderId="0" xfId="0" applyNumberFormat="1" applyFont="1"/>
    <xf numFmtId="43" fontId="3" fillId="6" borderId="1" xfId="1" applyFont="1" applyFill="1" applyBorder="1"/>
    <xf numFmtId="0" fontId="18" fillId="11" borderId="1" xfId="0" applyFont="1" applyFill="1" applyBorder="1" applyAlignment="1">
      <alignment horizontal="left" vertical="center"/>
    </xf>
    <xf numFmtId="43" fontId="18" fillId="11" borderId="1" xfId="0" applyNumberFormat="1" applyFont="1" applyFill="1" applyBorder="1" applyAlignment="1">
      <alignment vertical="center"/>
    </xf>
    <xf numFmtId="0" fontId="0" fillId="0" borderId="2" xfId="0" applyBorder="1"/>
    <xf numFmtId="0" fontId="20" fillId="5" borderId="14" xfId="0" applyFont="1" applyFill="1" applyBorder="1"/>
    <xf numFmtId="0" fontId="20" fillId="5" borderId="15" xfId="0" applyFont="1" applyFill="1" applyBorder="1"/>
    <xf numFmtId="43" fontId="23" fillId="5" borderId="13" xfId="1" applyFont="1" applyFill="1" applyBorder="1"/>
    <xf numFmtId="0" fontId="20" fillId="5" borderId="13" xfId="0" applyFont="1" applyFill="1" applyBorder="1" applyAlignment="1">
      <alignment horizontal="center"/>
    </xf>
    <xf numFmtId="0" fontId="24" fillId="0" borderId="0" xfId="6"/>
    <xf numFmtId="0" fontId="15" fillId="0" borderId="0" xfId="0" applyFont="1"/>
    <xf numFmtId="0" fontId="10" fillId="9" borderId="0" xfId="0" applyFont="1" applyFill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0" fillId="6" borderId="0" xfId="0" applyFont="1" applyFill="1" applyAlignment="1">
      <alignment horizontal="center" vertical="center"/>
    </xf>
    <xf numFmtId="0" fontId="19" fillId="7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10" fillId="1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25" fillId="0" borderId="10" xfId="4" applyFont="1" applyFill="1" applyBorder="1" applyAlignment="1">
      <alignment horizontal="center"/>
    </xf>
    <xf numFmtId="0" fontId="25" fillId="0" borderId="10" xfId="4" applyFont="1" applyFill="1" applyBorder="1" applyAlignment="1"/>
    <xf numFmtId="0" fontId="25" fillId="0" borderId="10" xfId="0" applyFont="1" applyFill="1" applyBorder="1"/>
    <xf numFmtId="9" fontId="25" fillId="0" borderId="10" xfId="0" applyNumberFormat="1" applyFont="1" applyFill="1" applyBorder="1" applyAlignment="1">
      <alignment horizontal="center"/>
    </xf>
    <xf numFmtId="0" fontId="25" fillId="0" borderId="10" xfId="0" applyFont="1" applyBorder="1"/>
    <xf numFmtId="9" fontId="25" fillId="0" borderId="10" xfId="0" applyNumberFormat="1" applyFont="1" applyBorder="1" applyAlignment="1">
      <alignment horizontal="center"/>
    </xf>
    <xf numFmtId="0" fontId="26" fillId="0" borderId="0" xfId="0" applyFont="1"/>
    <xf numFmtId="166" fontId="25" fillId="0" borderId="10" xfId="0" applyNumberFormat="1" applyFont="1" applyBorder="1" applyAlignment="1">
      <alignment horizontal="center"/>
    </xf>
    <xf numFmtId="0" fontId="11" fillId="2" borderId="10" xfId="3" applyFont="1" applyFill="1" applyBorder="1" applyAlignment="1">
      <alignment horizontal="center"/>
    </xf>
    <xf numFmtId="0" fontId="4" fillId="0" borderId="10" xfId="5" applyFont="1" applyFill="1" applyBorder="1" applyAlignment="1"/>
    <xf numFmtId="164" fontId="4" fillId="0" borderId="10" xfId="5" applyNumberFormat="1" applyFont="1" applyFill="1" applyBorder="1" applyAlignment="1">
      <alignment horizontal="center"/>
    </xf>
    <xf numFmtId="0" fontId="4" fillId="0" borderId="10" xfId="3" applyNumberFormat="1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10" xfId="1" applyFont="1" applyFill="1" applyBorder="1" applyAlignment="1">
      <alignment horizontal="right"/>
    </xf>
    <xf numFmtId="1" fontId="4" fillId="0" borderId="10" xfId="3" applyNumberFormat="1" applyFont="1" applyFill="1" applyBorder="1" applyAlignment="1">
      <alignment horizontal="center"/>
    </xf>
    <xf numFmtId="43" fontId="10" fillId="12" borderId="10" xfId="1" applyFont="1" applyFill="1" applyBorder="1"/>
    <xf numFmtId="0" fontId="10" fillId="12" borderId="10" xfId="0" applyFont="1" applyFill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/>
    </xf>
  </cellXfs>
  <cellStyles count="7">
    <cellStyle name="Hiperlink" xfId="6" builtinId="8"/>
    <cellStyle name="Normal" xfId="0" builtinId="0"/>
    <cellStyle name="Normal_Extrato" xfId="5"/>
    <cellStyle name="Normal_Mestres" xfId="4"/>
    <cellStyle name="Normal_Planilha2" xfId="3"/>
    <cellStyle name="Porcentagem" xfId="2" builtinId="5"/>
    <cellStyle name="Vírgula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142875</xdr:rowOff>
    </xdr:from>
    <xdr:to>
      <xdr:col>2</xdr:col>
      <xdr:colOff>39628</xdr:colOff>
      <xdr:row>8</xdr:row>
      <xdr:rowOff>83174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98DF1F1-BDD2-4D38-AB07-555C303C11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42875"/>
          <a:ext cx="1220728" cy="14642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206747</xdr:colOff>
      <xdr:row>32</xdr:row>
      <xdr:rowOff>3430</xdr:rowOff>
    </xdr:from>
    <xdr:to>
      <xdr:col>0</xdr:col>
      <xdr:colOff>498103</xdr:colOff>
      <xdr:row>33</xdr:row>
      <xdr:rowOff>53720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3B34FF27-A119-4145-A185-706C44840497}"/>
            </a:ext>
          </a:extLst>
        </xdr:cNvPr>
        <xdr:cNvSpPr/>
      </xdr:nvSpPr>
      <xdr:spPr>
        <a:xfrm>
          <a:off x="206747" y="6156580"/>
          <a:ext cx="291356" cy="24079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1'</a:t>
          </a:r>
        </a:p>
      </xdr:txBody>
    </xdr:sp>
    <xdr:clientData/>
  </xdr:twoCellAnchor>
  <xdr:twoCellAnchor>
    <xdr:from>
      <xdr:col>6</xdr:col>
      <xdr:colOff>206747</xdr:colOff>
      <xdr:row>32</xdr:row>
      <xdr:rowOff>3430</xdr:rowOff>
    </xdr:from>
    <xdr:to>
      <xdr:col>6</xdr:col>
      <xdr:colOff>498103</xdr:colOff>
      <xdr:row>33</xdr:row>
      <xdr:rowOff>53720</xdr:rowOff>
    </xdr:to>
    <xdr:sp macro="" textlink="">
      <xdr:nvSpPr>
        <xdr:cNvPr id="3" name="Elipse 2">
          <a:extLst>
            <a:ext uri="{FF2B5EF4-FFF2-40B4-BE49-F238E27FC236}">
              <a16:creationId xmlns:a16="http://schemas.microsoft.com/office/drawing/2014/main" id="{67D0520F-C7D0-4B67-AD41-8EA10120CB2C}"/>
            </a:ext>
          </a:extLst>
        </xdr:cNvPr>
        <xdr:cNvSpPr/>
      </xdr:nvSpPr>
      <xdr:spPr>
        <a:xfrm>
          <a:off x="206747" y="6347080"/>
          <a:ext cx="291356" cy="24079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1'</a:t>
          </a:r>
        </a:p>
      </xdr:txBody>
    </xdr:sp>
    <xdr:clientData/>
  </xdr:twoCellAnchor>
  <xdr:twoCellAnchor>
    <xdr:from>
      <xdr:col>0</xdr:col>
      <xdr:colOff>206747</xdr:colOff>
      <xdr:row>49</xdr:row>
      <xdr:rowOff>3430</xdr:rowOff>
    </xdr:from>
    <xdr:to>
      <xdr:col>0</xdr:col>
      <xdr:colOff>498103</xdr:colOff>
      <xdr:row>50</xdr:row>
      <xdr:rowOff>53720</xdr:rowOff>
    </xdr:to>
    <xdr:sp macro="" textlink="">
      <xdr:nvSpPr>
        <xdr:cNvPr id="4" name="Elipse 3">
          <a:extLst>
            <a:ext uri="{FF2B5EF4-FFF2-40B4-BE49-F238E27FC236}">
              <a16:creationId xmlns:a16="http://schemas.microsoft.com/office/drawing/2014/main" id="{92F79372-E1BD-48F8-A6B6-25FE3B05B9F9}"/>
            </a:ext>
          </a:extLst>
        </xdr:cNvPr>
        <xdr:cNvSpPr/>
      </xdr:nvSpPr>
      <xdr:spPr>
        <a:xfrm>
          <a:off x="206747" y="6347080"/>
          <a:ext cx="291356" cy="24079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</a:t>
          </a:r>
        </a:p>
      </xdr:txBody>
    </xdr:sp>
    <xdr:clientData/>
  </xdr:twoCellAnchor>
  <xdr:twoCellAnchor>
    <xdr:from>
      <xdr:col>6</xdr:col>
      <xdr:colOff>206747</xdr:colOff>
      <xdr:row>49</xdr:row>
      <xdr:rowOff>3430</xdr:rowOff>
    </xdr:from>
    <xdr:to>
      <xdr:col>6</xdr:col>
      <xdr:colOff>498103</xdr:colOff>
      <xdr:row>50</xdr:row>
      <xdr:rowOff>53720</xdr:rowOff>
    </xdr:to>
    <xdr:sp macro="" textlink="">
      <xdr:nvSpPr>
        <xdr:cNvPr id="5" name="Elipse 4">
          <a:extLst>
            <a:ext uri="{FF2B5EF4-FFF2-40B4-BE49-F238E27FC236}">
              <a16:creationId xmlns:a16="http://schemas.microsoft.com/office/drawing/2014/main" id="{991EE447-22AF-43D2-BF58-8F5C0CFBB9D8}"/>
            </a:ext>
          </a:extLst>
        </xdr:cNvPr>
        <xdr:cNvSpPr/>
      </xdr:nvSpPr>
      <xdr:spPr>
        <a:xfrm>
          <a:off x="5340722" y="6347080"/>
          <a:ext cx="291356" cy="24079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2</a:t>
          </a:r>
        </a:p>
      </xdr:txBody>
    </xdr:sp>
    <xdr:clientData/>
  </xdr:twoCellAnchor>
  <xdr:twoCellAnchor>
    <xdr:from>
      <xdr:col>0</xdr:col>
      <xdr:colOff>206747</xdr:colOff>
      <xdr:row>69</xdr:row>
      <xdr:rowOff>3430</xdr:rowOff>
    </xdr:from>
    <xdr:to>
      <xdr:col>0</xdr:col>
      <xdr:colOff>498103</xdr:colOff>
      <xdr:row>70</xdr:row>
      <xdr:rowOff>53720</xdr:rowOff>
    </xdr:to>
    <xdr:sp macro="" textlink="">
      <xdr:nvSpPr>
        <xdr:cNvPr id="6" name="Elipse 5">
          <a:extLst>
            <a:ext uri="{FF2B5EF4-FFF2-40B4-BE49-F238E27FC236}">
              <a16:creationId xmlns:a16="http://schemas.microsoft.com/office/drawing/2014/main" id="{D62B6FDB-B3FA-43E0-8365-9C03526C089E}"/>
            </a:ext>
          </a:extLst>
        </xdr:cNvPr>
        <xdr:cNvSpPr/>
      </xdr:nvSpPr>
      <xdr:spPr>
        <a:xfrm>
          <a:off x="206747" y="9633205"/>
          <a:ext cx="291356" cy="24079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</a:t>
          </a:r>
        </a:p>
      </xdr:txBody>
    </xdr:sp>
    <xdr:clientData/>
  </xdr:twoCellAnchor>
  <xdr:twoCellAnchor>
    <xdr:from>
      <xdr:col>6</xdr:col>
      <xdr:colOff>206747</xdr:colOff>
      <xdr:row>69</xdr:row>
      <xdr:rowOff>3430</xdr:rowOff>
    </xdr:from>
    <xdr:to>
      <xdr:col>6</xdr:col>
      <xdr:colOff>498103</xdr:colOff>
      <xdr:row>70</xdr:row>
      <xdr:rowOff>53720</xdr:rowOff>
    </xdr:to>
    <xdr:sp macro="" textlink="">
      <xdr:nvSpPr>
        <xdr:cNvPr id="7" name="Elipse 6">
          <a:extLst>
            <a:ext uri="{FF2B5EF4-FFF2-40B4-BE49-F238E27FC236}">
              <a16:creationId xmlns:a16="http://schemas.microsoft.com/office/drawing/2014/main" id="{1F61D6BD-2F88-4213-9928-F9E6BC1DE39D}"/>
            </a:ext>
          </a:extLst>
        </xdr:cNvPr>
        <xdr:cNvSpPr/>
      </xdr:nvSpPr>
      <xdr:spPr>
        <a:xfrm>
          <a:off x="206747" y="13624180"/>
          <a:ext cx="291356" cy="240790"/>
        </a:xfrm>
        <a:prstGeom prst="ellipse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57150</xdr:colOff>
      <xdr:row>2</xdr:row>
      <xdr:rowOff>122779</xdr:rowOff>
    </xdr:from>
    <xdr:to>
      <xdr:col>26</xdr:col>
      <xdr:colOff>226974</xdr:colOff>
      <xdr:row>26</xdr:row>
      <xdr:rowOff>132483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0F8E7A1-4478-4838-93CE-1EC2B68CC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67575" y="503779"/>
          <a:ext cx="8704224" cy="4638854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27</xdr:row>
      <xdr:rowOff>0</xdr:rowOff>
    </xdr:from>
    <xdr:to>
      <xdr:col>33</xdr:col>
      <xdr:colOff>207924</xdr:colOff>
      <xdr:row>63</xdr:row>
      <xdr:rowOff>75333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F1C600-4D7F-4491-AAB7-FAA7F47AA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0425" y="5495925"/>
          <a:ext cx="13009524" cy="6933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showRowColHeaders="0" tabSelected="1" workbookViewId="0">
      <selection activeCell="I5" sqref="I5"/>
    </sheetView>
  </sheetViews>
  <sheetFormatPr defaultRowHeight="15" x14ac:dyDescent="0.25"/>
  <sheetData>
    <row r="2" spans="2:3" x14ac:dyDescent="0.25">
      <c r="C2" s="2" t="s">
        <v>108</v>
      </c>
    </row>
    <row r="3" spans="2:3" x14ac:dyDescent="0.25">
      <c r="C3" t="s">
        <v>107</v>
      </c>
    </row>
    <row r="4" spans="2:3" x14ac:dyDescent="0.25">
      <c r="C4" t="s">
        <v>109</v>
      </c>
    </row>
    <row r="11" spans="2:3" x14ac:dyDescent="0.25">
      <c r="B11" s="2" t="s">
        <v>110</v>
      </c>
    </row>
    <row r="12" spans="2:3" x14ac:dyDescent="0.25">
      <c r="B12" t="s">
        <v>113</v>
      </c>
    </row>
    <row r="14" spans="2:3" x14ac:dyDescent="0.25">
      <c r="B14" s="2" t="s">
        <v>111</v>
      </c>
    </row>
    <row r="15" spans="2:3" x14ac:dyDescent="0.25">
      <c r="B15" t="s">
        <v>112</v>
      </c>
    </row>
    <row r="17" spans="2:2" x14ac:dyDescent="0.25">
      <c r="B17" s="2" t="s">
        <v>114</v>
      </c>
    </row>
    <row r="18" spans="2:2" x14ac:dyDescent="0.25">
      <c r="B18" t="s">
        <v>115</v>
      </c>
    </row>
    <row r="20" spans="2:2" x14ac:dyDescent="0.25">
      <c r="B20" s="2" t="s">
        <v>116</v>
      </c>
    </row>
    <row r="21" spans="2:2" x14ac:dyDescent="0.25">
      <c r="B21" t="s">
        <v>117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108"/>
  <sheetViews>
    <sheetView showGridLines="0" zoomScale="90" zoomScaleNormal="90" workbookViewId="0">
      <selection activeCell="L1" sqref="L1"/>
    </sheetView>
  </sheetViews>
  <sheetFormatPr defaultRowHeight="15" x14ac:dyDescent="0.25"/>
  <cols>
    <col min="2" max="2" width="18.85546875" customWidth="1"/>
    <col min="3" max="3" width="14.5703125" bestFit="1" customWidth="1"/>
    <col min="4" max="4" width="13.85546875" bestFit="1" customWidth="1"/>
    <col min="5" max="5" width="19.28515625" bestFit="1" customWidth="1"/>
    <col min="6" max="6" width="1.5703125" customWidth="1"/>
    <col min="7" max="7" width="12.140625" bestFit="1" customWidth="1"/>
    <col min="8" max="8" width="45.28515625" customWidth="1"/>
    <col min="9" max="9" width="6.42578125" bestFit="1" customWidth="1"/>
    <col min="10" max="10" width="4.42578125" customWidth="1"/>
    <col min="11" max="11" width="13.85546875" bestFit="1" customWidth="1"/>
    <col min="12" max="12" width="12.140625" bestFit="1" customWidth="1"/>
    <col min="13" max="13" width="11.140625" bestFit="1" customWidth="1"/>
    <col min="14" max="14" width="12.140625" bestFit="1" customWidth="1"/>
    <col min="15" max="15" width="14.28515625" bestFit="1" customWidth="1"/>
    <col min="16" max="16" width="12.140625" bestFit="1" customWidth="1"/>
    <col min="17" max="17" width="14" bestFit="1" customWidth="1"/>
    <col min="18" max="18" width="11.140625" bestFit="1" customWidth="1"/>
    <col min="19" max="19" width="9.28515625" bestFit="1" customWidth="1"/>
    <col min="20" max="21" width="10" bestFit="1" customWidth="1"/>
  </cols>
  <sheetData>
    <row r="1" spans="1:19" x14ac:dyDescent="0.25">
      <c r="A1" s="2" t="s">
        <v>94</v>
      </c>
    </row>
    <row r="3" spans="1:19" x14ac:dyDescent="0.25">
      <c r="B3" s="2" t="s">
        <v>36</v>
      </c>
      <c r="C3" s="4" t="s">
        <v>4</v>
      </c>
      <c r="D3" s="4" t="s">
        <v>5</v>
      </c>
      <c r="E3" s="4" t="s">
        <v>6</v>
      </c>
      <c r="H3" s="49" t="s">
        <v>82</v>
      </c>
      <c r="I3" s="49"/>
      <c r="J3" s="49"/>
      <c r="K3" s="49"/>
      <c r="L3" s="65" t="s">
        <v>43</v>
      </c>
      <c r="M3" s="65"/>
      <c r="N3" s="50"/>
      <c r="O3" s="51" t="s">
        <v>86</v>
      </c>
      <c r="P3" s="51" t="s">
        <v>88</v>
      </c>
      <c r="Q3" s="51" t="s">
        <v>84</v>
      </c>
    </row>
    <row r="4" spans="1:19" x14ac:dyDescent="0.25">
      <c r="B4" s="6" t="s">
        <v>0</v>
      </c>
      <c r="C4" s="3">
        <v>1000000</v>
      </c>
      <c r="D4" s="3">
        <v>100000</v>
      </c>
      <c r="E4" s="3">
        <f>SUM(C4:D4)</f>
        <v>1100000</v>
      </c>
      <c r="H4" s="52" t="s">
        <v>83</v>
      </c>
      <c r="I4" s="5"/>
      <c r="J4" s="5"/>
      <c r="K4" s="5"/>
      <c r="L4" s="4" t="s">
        <v>6</v>
      </c>
      <c r="M4" s="4" t="s">
        <v>84</v>
      </c>
      <c r="N4" s="4" t="s">
        <v>85</v>
      </c>
      <c r="O4" s="4" t="s">
        <v>87</v>
      </c>
      <c r="P4" s="4" t="s">
        <v>89</v>
      </c>
      <c r="Q4" s="4" t="s">
        <v>90</v>
      </c>
    </row>
    <row r="5" spans="1:19" x14ac:dyDescent="0.25">
      <c r="B5" s="6" t="s">
        <v>1</v>
      </c>
      <c r="C5" s="3">
        <f>C4*0.1</f>
        <v>100000</v>
      </c>
      <c r="D5" s="3">
        <f>D4*0.1</f>
        <v>10000</v>
      </c>
      <c r="E5" s="3">
        <f t="shared" ref="E5:E7" si="0">SUM(C5:D5)</f>
        <v>110000</v>
      </c>
      <c r="H5" t="str">
        <f>B33</f>
        <v>Art. 2-I - Sinal de 7,5% em 5X + Crédito de Prej. Fiscal, saldo em 60x</v>
      </c>
      <c r="L5" s="24">
        <f>E36</f>
        <v>97500</v>
      </c>
      <c r="M5" s="24">
        <f>L5/5</f>
        <v>19500</v>
      </c>
      <c r="N5" s="24">
        <f>E45</f>
        <v>0</v>
      </c>
      <c r="O5" s="53">
        <f>E39</f>
        <v>1202500</v>
      </c>
      <c r="P5" s="24">
        <f>E39-E40</f>
        <v>0</v>
      </c>
      <c r="Q5" s="24">
        <f>E48</f>
        <v>20041.666666666668</v>
      </c>
    </row>
    <row r="6" spans="1:19" x14ac:dyDescent="0.25">
      <c r="B6" s="6" t="s">
        <v>2</v>
      </c>
      <c r="C6" s="3">
        <f>C4*0.2</f>
        <v>200000</v>
      </c>
      <c r="D6" s="3">
        <f>D4*0.2</f>
        <v>20000</v>
      </c>
      <c r="E6" s="3">
        <f t="shared" si="0"/>
        <v>220000</v>
      </c>
      <c r="H6" t="str">
        <f>B50</f>
        <v>Art. 2-II - Dívida Consolidada em 120x</v>
      </c>
      <c r="L6" s="24">
        <f>E53</f>
        <v>0</v>
      </c>
      <c r="M6" s="24">
        <f>L6/5</f>
        <v>0</v>
      </c>
      <c r="N6" s="24">
        <f>E62</f>
        <v>0</v>
      </c>
      <c r="O6" s="53">
        <f>E56</f>
        <v>1300000</v>
      </c>
      <c r="P6" s="24">
        <f>E56-E57</f>
        <v>0</v>
      </c>
      <c r="Q6" s="36">
        <f>E65</f>
        <v>5200</v>
      </c>
      <c r="R6" s="36">
        <f>E68</f>
        <v>15244.047619047618</v>
      </c>
      <c r="S6" s="35" t="s">
        <v>118</v>
      </c>
    </row>
    <row r="7" spans="1:19" x14ac:dyDescent="0.25">
      <c r="B7" s="6" t="s">
        <v>3</v>
      </c>
      <c r="C7" s="3"/>
      <c r="D7" s="3">
        <f>D6</f>
        <v>20000</v>
      </c>
      <c r="E7" s="3">
        <f t="shared" si="0"/>
        <v>20000</v>
      </c>
      <c r="H7" t="str">
        <f>B70</f>
        <v>Art. 2-III- Sinal de 20%/7,5% da Dívida Consolidada em 5x e saldo em:</v>
      </c>
      <c r="O7" s="2"/>
    </row>
    <row r="8" spans="1:19" ht="15.75" thickBot="1" x14ac:dyDescent="0.3">
      <c r="B8" s="31" t="s">
        <v>38</v>
      </c>
      <c r="C8" s="54">
        <f>SUM(C4:C7)</f>
        <v>1300000</v>
      </c>
      <c r="D8" s="54">
        <f t="shared" ref="D8" si="1">SUM(D4:D7)</f>
        <v>150000</v>
      </c>
      <c r="E8" s="54">
        <f t="shared" ref="E8" si="2">SUM(E4:E7)</f>
        <v>1450000</v>
      </c>
      <c r="G8" s="48"/>
      <c r="H8" s="6" t="str">
        <f>B79</f>
        <v>a. Quitação em Janeiro de 2018</v>
      </c>
      <c r="L8" s="24">
        <f>E73</f>
        <v>97500</v>
      </c>
      <c r="M8" s="24">
        <f>L8/5</f>
        <v>19500</v>
      </c>
      <c r="N8" s="24">
        <f>E84</f>
        <v>-175750</v>
      </c>
      <c r="O8" s="53">
        <f>E76+N8</f>
        <v>1026750</v>
      </c>
      <c r="P8" s="24">
        <f>E76-E77</f>
        <v>0</v>
      </c>
      <c r="Q8" s="24">
        <f>E87</f>
        <v>1026750</v>
      </c>
    </row>
    <row r="9" spans="1:19" ht="15.75" thickTop="1" x14ac:dyDescent="0.25">
      <c r="G9" s="24"/>
      <c r="H9" s="6" t="str">
        <f>B89</f>
        <v>b. Saldo em 145 Parcelas</v>
      </c>
      <c r="L9" s="24">
        <f>L8</f>
        <v>97500</v>
      </c>
      <c r="M9" s="24">
        <f>L9/5</f>
        <v>19500</v>
      </c>
      <c r="N9" s="24">
        <f>E94</f>
        <v>-111000</v>
      </c>
      <c r="O9" s="53">
        <f>E76+N9</f>
        <v>1091500</v>
      </c>
      <c r="P9" s="24">
        <f>P8</f>
        <v>0</v>
      </c>
      <c r="Q9" s="24">
        <f>E97</f>
        <v>7527.5862068965516</v>
      </c>
    </row>
    <row r="10" spans="1:19" x14ac:dyDescent="0.25">
      <c r="B10" s="2" t="s">
        <v>37</v>
      </c>
      <c r="C10" s="4" t="s">
        <v>4</v>
      </c>
      <c r="D10" s="4" t="s">
        <v>5</v>
      </c>
      <c r="E10" s="5" t="s">
        <v>6</v>
      </c>
      <c r="H10" s="6" t="str">
        <f>B99</f>
        <v>c. Saldo em 175 Parcelas</v>
      </c>
      <c r="L10" s="24">
        <f t="shared" ref="L10" si="3">L9</f>
        <v>97500</v>
      </c>
      <c r="M10" s="24">
        <f t="shared" ref="M10" si="4">L10/5</f>
        <v>19500</v>
      </c>
      <c r="N10" s="24">
        <f>E104</f>
        <v>-69375</v>
      </c>
      <c r="O10" s="53">
        <f>E76+N10</f>
        <v>1133125</v>
      </c>
      <c r="P10" s="24">
        <f t="shared" ref="P10" si="5">P9</f>
        <v>0</v>
      </c>
      <c r="Q10" s="24">
        <f>E107</f>
        <v>6475</v>
      </c>
    </row>
    <row r="11" spans="1:19" x14ac:dyDescent="0.25">
      <c r="B11" s="6" t="s">
        <v>0</v>
      </c>
      <c r="C11" s="3"/>
      <c r="D11" s="3"/>
      <c r="E11" s="3">
        <f>SUM(C11:D11)</f>
        <v>0</v>
      </c>
      <c r="O11" s="2"/>
    </row>
    <row r="12" spans="1:19" x14ac:dyDescent="0.25">
      <c r="B12" s="6" t="s">
        <v>1</v>
      </c>
      <c r="C12" s="3"/>
      <c r="D12" s="3"/>
      <c r="E12" s="3">
        <f t="shared" ref="E12:E14" si="6">SUM(C12:D12)</f>
        <v>0</v>
      </c>
      <c r="H12" s="52" t="s">
        <v>91</v>
      </c>
      <c r="I12" s="57"/>
      <c r="J12" s="57"/>
      <c r="K12" s="57"/>
      <c r="L12" s="57"/>
      <c r="M12" s="57"/>
      <c r="N12" s="57"/>
      <c r="O12" s="5"/>
      <c r="P12" s="57"/>
      <c r="Q12" s="57"/>
    </row>
    <row r="13" spans="1:19" x14ac:dyDescent="0.25">
      <c r="B13" s="6" t="s">
        <v>2</v>
      </c>
      <c r="C13" s="3"/>
      <c r="D13" s="3"/>
      <c r="E13" s="3">
        <f t="shared" si="6"/>
        <v>0</v>
      </c>
      <c r="H13" t="str">
        <f>H50</f>
        <v>Art. 3-I - Pagamento em 120x</v>
      </c>
      <c r="L13" s="24">
        <f>K53</f>
        <v>0</v>
      </c>
      <c r="M13" s="24">
        <f>L13/5</f>
        <v>0</v>
      </c>
      <c r="N13" s="24">
        <f>E69</f>
        <v>0</v>
      </c>
      <c r="O13" s="53">
        <f>K57</f>
        <v>150000</v>
      </c>
      <c r="P13" s="3">
        <v>0</v>
      </c>
      <c r="Q13" s="36">
        <f>K65</f>
        <v>600</v>
      </c>
      <c r="R13" s="36">
        <f>K68</f>
        <v>1758.9285714285713</v>
      </c>
      <c r="S13" s="35" t="s">
        <v>118</v>
      </c>
    </row>
    <row r="14" spans="1:19" x14ac:dyDescent="0.25">
      <c r="B14" s="6" t="s">
        <v>3</v>
      </c>
      <c r="C14" s="3"/>
      <c r="D14" s="3"/>
      <c r="E14" s="3">
        <f t="shared" si="6"/>
        <v>0</v>
      </c>
      <c r="H14" t="str">
        <f>H70</f>
        <v>Art. 3-III- Sinal de 20%/7,5% da Dívida Consolidada em 5x e saldo em:</v>
      </c>
      <c r="O14" s="2"/>
      <c r="P14" s="3"/>
    </row>
    <row r="15" spans="1:19" ht="15.75" thickBot="1" x14ac:dyDescent="0.3">
      <c r="B15" s="31" t="s">
        <v>39</v>
      </c>
      <c r="C15" s="54">
        <f>SUM(C11:C14)</f>
        <v>0</v>
      </c>
      <c r="D15" s="54">
        <f t="shared" ref="D15" si="7">SUM(D11:D14)</f>
        <v>0</v>
      </c>
      <c r="E15" s="54">
        <f t="shared" ref="E15" si="8">SUM(E11:E14)</f>
        <v>0</v>
      </c>
      <c r="H15" s="6" t="str">
        <f>H79</f>
        <v>a. Quitação em Janeiro de 2018</v>
      </c>
      <c r="L15" s="24">
        <f>K73</f>
        <v>11250</v>
      </c>
      <c r="M15" s="24">
        <f>L15/5</f>
        <v>2250</v>
      </c>
      <c r="N15" s="24">
        <f>K84</f>
        <v>-22200</v>
      </c>
      <c r="O15" s="53">
        <f>K77+N15</f>
        <v>116550</v>
      </c>
      <c r="P15" s="3">
        <v>0</v>
      </c>
      <c r="Q15" s="24">
        <f>K87</f>
        <v>116550</v>
      </c>
    </row>
    <row r="16" spans="1:19" ht="15.75" hidden="1" thickTop="1" x14ac:dyDescent="0.25">
      <c r="H16" s="6"/>
      <c r="L16" s="24"/>
      <c r="M16" s="24"/>
      <c r="N16" s="24"/>
      <c r="O16" s="53"/>
      <c r="P16" s="3"/>
      <c r="Q16" s="24"/>
    </row>
    <row r="17" spans="1:21" hidden="1" x14ac:dyDescent="0.25">
      <c r="B17" s="6"/>
      <c r="C17" s="3"/>
      <c r="D17" s="3"/>
      <c r="E17" s="3"/>
      <c r="H17" s="6"/>
      <c r="L17" s="24"/>
      <c r="M17" s="24"/>
      <c r="N17" s="24"/>
      <c r="O17" s="53"/>
      <c r="P17" s="3"/>
      <c r="Q17" s="24"/>
    </row>
    <row r="18" spans="1:21" hidden="1" x14ac:dyDescent="0.25">
      <c r="B18" s="6"/>
      <c r="C18" s="3"/>
      <c r="D18" s="3"/>
      <c r="E18" s="3"/>
      <c r="L18" s="24"/>
      <c r="O18" s="2"/>
      <c r="P18" s="3"/>
    </row>
    <row r="19" spans="1:21" hidden="1" x14ac:dyDescent="0.25">
      <c r="B19" s="6"/>
      <c r="C19" s="3"/>
      <c r="D19" s="3"/>
      <c r="E19" s="3"/>
      <c r="L19" s="24"/>
      <c r="O19" s="2"/>
      <c r="P19" s="3"/>
    </row>
    <row r="20" spans="1:21" ht="15.75" hidden="1" thickBot="1" x14ac:dyDescent="0.3">
      <c r="B20" s="31"/>
      <c r="C20" s="32">
        <f>SUM(C17:C19)</f>
        <v>0</v>
      </c>
      <c r="D20" s="32">
        <f t="shared" ref="D20:E20" si="9">SUM(D17:D19)</f>
        <v>0</v>
      </c>
      <c r="E20" s="32">
        <f t="shared" si="9"/>
        <v>0</v>
      </c>
      <c r="L20" s="24"/>
      <c r="O20" s="2"/>
      <c r="P20" s="3"/>
    </row>
    <row r="21" spans="1:21" ht="15.75" thickTop="1" x14ac:dyDescent="0.25">
      <c r="H21" s="6" t="str">
        <f>H89</f>
        <v>b. Saldo em 145 Parcelas</v>
      </c>
      <c r="L21" s="24">
        <f>L15</f>
        <v>11250</v>
      </c>
      <c r="M21" s="24">
        <f>L21/5</f>
        <v>2250</v>
      </c>
      <c r="N21" s="24">
        <f>K94</f>
        <v>-19425</v>
      </c>
      <c r="O21" s="53">
        <f>K77+N21</f>
        <v>119325</v>
      </c>
      <c r="P21" s="3">
        <v>0</v>
      </c>
      <c r="Q21" s="24">
        <f>K97</f>
        <v>822.93103448275861</v>
      </c>
    </row>
    <row r="22" spans="1:21" ht="16.5" thickBot="1" x14ac:dyDescent="0.3">
      <c r="B22" s="55" t="s">
        <v>33</v>
      </c>
      <c r="C22" s="56">
        <f>C8-C20+C15</f>
        <v>1300000</v>
      </c>
      <c r="D22" s="56">
        <f>D8-D20+D15</f>
        <v>150000</v>
      </c>
      <c r="E22" s="56">
        <f>E8-E20+E15</f>
        <v>1450000</v>
      </c>
      <c r="H22" s="6" t="str">
        <f>H99</f>
        <v>c. Saldo em 175 Parcelas</v>
      </c>
      <c r="L22" s="24">
        <f>L21</f>
        <v>11250</v>
      </c>
      <c r="M22" s="24">
        <f>L22/5</f>
        <v>2250</v>
      </c>
      <c r="N22" s="24">
        <f>K104</f>
        <v>-69375</v>
      </c>
      <c r="O22" s="53">
        <f>K77+N22</f>
        <v>69375</v>
      </c>
      <c r="P22" s="3">
        <v>0</v>
      </c>
      <c r="Q22" s="24">
        <f>K107</f>
        <v>396.42857142857144</v>
      </c>
    </row>
    <row r="23" spans="1:21" ht="15.75" thickTop="1" x14ac:dyDescent="0.25">
      <c r="O23" s="2"/>
    </row>
    <row r="24" spans="1:21" ht="18.75" x14ac:dyDescent="0.3">
      <c r="A24" s="67" t="s">
        <v>60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O24" s="2"/>
    </row>
    <row r="25" spans="1:21" ht="15.75" thickBot="1" x14ac:dyDescent="0.3">
      <c r="O25" s="24"/>
    </row>
    <row r="26" spans="1:21" ht="16.5" thickBot="1" x14ac:dyDescent="0.3">
      <c r="B26" s="58" t="s">
        <v>61</v>
      </c>
      <c r="C26" s="59"/>
      <c r="D26" s="59"/>
      <c r="E26" s="61" t="str">
        <f>IF(E8+E15&gt;15000000,"SIM","NÃO")</f>
        <v>NÃO</v>
      </c>
      <c r="H26" s="62"/>
      <c r="Q26" s="3"/>
      <c r="R26" s="3"/>
      <c r="S26" s="3"/>
      <c r="T26" s="3"/>
      <c r="U26" s="24"/>
    </row>
    <row r="27" spans="1:21" ht="16.5" thickBot="1" x14ac:dyDescent="0.3">
      <c r="B27" s="58" t="s">
        <v>62</v>
      </c>
      <c r="C27" s="59"/>
      <c r="D27" s="59"/>
      <c r="E27" s="60">
        <v>0</v>
      </c>
    </row>
    <row r="29" spans="1:21" x14ac:dyDescent="0.25">
      <c r="B29" s="68" t="s">
        <v>67</v>
      </c>
      <c r="C29" s="68"/>
      <c r="D29" s="68"/>
      <c r="E29" s="68"/>
      <c r="H29" s="68" t="s">
        <v>73</v>
      </c>
      <c r="I29" s="68"/>
      <c r="J29" s="68"/>
      <c r="K29" s="68"/>
    </row>
    <row r="31" spans="1:21" x14ac:dyDescent="0.25">
      <c r="B31" s="70" t="s">
        <v>63</v>
      </c>
      <c r="C31" s="70"/>
      <c r="D31" s="70"/>
      <c r="E31" s="70"/>
      <c r="H31" s="70" t="s">
        <v>63</v>
      </c>
      <c r="I31" s="70"/>
      <c r="J31" s="70"/>
      <c r="K31" s="70"/>
    </row>
    <row r="33" spans="2:11" x14ac:dyDescent="0.25">
      <c r="B33" s="66" t="str">
        <f>Mestres!C16</f>
        <v>Art. 2-I - Sinal de 7,5% em 5X + Crédito de Prej. Fiscal, saldo em 60x</v>
      </c>
      <c r="C33" s="66"/>
      <c r="D33" s="66"/>
      <c r="E33" s="66"/>
      <c r="H33" s="69" t="s">
        <v>92</v>
      </c>
      <c r="I33" s="69"/>
      <c r="J33" s="69"/>
      <c r="K33" s="69"/>
    </row>
    <row r="35" spans="2:11" x14ac:dyDescent="0.25">
      <c r="B35" s="30" t="s">
        <v>64</v>
      </c>
      <c r="E35" s="29">
        <f>IF($E$26="não",7.5%,20%)</f>
        <v>7.4999999999999997E-2</v>
      </c>
      <c r="H35" s="30" t="s">
        <v>64</v>
      </c>
      <c r="K35" s="29">
        <v>0</v>
      </c>
    </row>
    <row r="36" spans="2:11" x14ac:dyDescent="0.25">
      <c r="B36" s="33" t="s">
        <v>65</v>
      </c>
      <c r="C36" s="2"/>
      <c r="D36" s="2"/>
      <c r="E36" s="37">
        <f>$C$22*E35</f>
        <v>97500</v>
      </c>
      <c r="H36" s="33" t="s">
        <v>65</v>
      </c>
      <c r="I36" s="2"/>
      <c r="J36" s="2"/>
      <c r="K36" s="37">
        <f>D15*K35</f>
        <v>0</v>
      </c>
    </row>
    <row r="37" spans="2:11" x14ac:dyDescent="0.25">
      <c r="B37" s="34" t="s">
        <v>66</v>
      </c>
      <c r="C37" s="35"/>
      <c r="D37" s="35"/>
      <c r="E37" s="36">
        <f>E36/5</f>
        <v>19500</v>
      </c>
      <c r="H37" s="34" t="s">
        <v>66</v>
      </c>
      <c r="I37" s="35"/>
      <c r="J37" s="35"/>
      <c r="K37" s="36">
        <f>K36/5</f>
        <v>0</v>
      </c>
    </row>
    <row r="39" spans="2:11" x14ac:dyDescent="0.25">
      <c r="B39" s="30" t="s">
        <v>68</v>
      </c>
      <c r="E39" s="24">
        <f>$C$22-E36</f>
        <v>1202500</v>
      </c>
      <c r="H39" s="30" t="s">
        <v>68</v>
      </c>
      <c r="K39" s="24">
        <v>0</v>
      </c>
    </row>
    <row r="40" spans="2:11" x14ac:dyDescent="0.25">
      <c r="B40" s="33" t="s">
        <v>69</v>
      </c>
      <c r="C40" s="2"/>
      <c r="D40" s="2"/>
      <c r="E40" s="37">
        <f>IF(E26="não",E39+E27+SUM(E42:E44),E39+E27)</f>
        <v>1202500</v>
      </c>
      <c r="H40" s="33" t="s">
        <v>69</v>
      </c>
      <c r="I40" s="2"/>
      <c r="J40" s="2"/>
      <c r="K40" s="37">
        <f>K39-K45</f>
        <v>0</v>
      </c>
    </row>
    <row r="42" spans="2:11" x14ac:dyDescent="0.25">
      <c r="B42" s="30" t="s">
        <v>1</v>
      </c>
      <c r="C42" s="39">
        <v>0</v>
      </c>
      <c r="E42" s="24">
        <f>($C$5+$C$12)*((1-$E$35))*-C42</f>
        <v>0</v>
      </c>
      <c r="H42" s="30" t="s">
        <v>1</v>
      </c>
      <c r="I42" s="39">
        <v>0</v>
      </c>
      <c r="K42" s="24">
        <f>($C$5+$C$12)*((1-$E$35))*-I42</f>
        <v>0</v>
      </c>
    </row>
    <row r="43" spans="2:11" x14ac:dyDescent="0.25">
      <c r="B43" s="30" t="s">
        <v>2</v>
      </c>
      <c r="C43" s="39">
        <v>0</v>
      </c>
      <c r="E43" s="24">
        <f>($C$5+$C$12)*((1-$E$35))*-C43</f>
        <v>0</v>
      </c>
      <c r="H43" s="30" t="s">
        <v>2</v>
      </c>
      <c r="I43" s="39">
        <v>0</v>
      </c>
      <c r="K43" s="24">
        <f>($C$5+$C$12)*((1-$E$35))*-I43</f>
        <v>0</v>
      </c>
    </row>
    <row r="44" spans="2:11" x14ac:dyDescent="0.25">
      <c r="B44" s="30" t="s">
        <v>29</v>
      </c>
      <c r="C44" s="39">
        <v>0</v>
      </c>
      <c r="E44" s="24">
        <f>($C$5+$C$12)*((1-$E$35))*-C44</f>
        <v>0</v>
      </c>
      <c r="H44" s="30" t="s">
        <v>29</v>
      </c>
      <c r="I44" s="39">
        <v>0</v>
      </c>
      <c r="K44" s="24">
        <f>($C$5+$C$12)*((1-$E$35))*-I44</f>
        <v>0</v>
      </c>
    </row>
    <row r="45" spans="2:11" ht="17.25" x14ac:dyDescent="0.4">
      <c r="B45" s="33" t="s">
        <v>70</v>
      </c>
      <c r="E45" s="38">
        <f>SUM(E42:E44)</f>
        <v>0</v>
      </c>
      <c r="H45" s="33" t="s">
        <v>70</v>
      </c>
      <c r="K45" s="38">
        <f>SUM(K42:K44)</f>
        <v>0</v>
      </c>
    </row>
    <row r="47" spans="2:11" x14ac:dyDescent="0.25">
      <c r="B47" s="30" t="s">
        <v>71</v>
      </c>
      <c r="E47" s="1">
        <f>60</f>
        <v>60</v>
      </c>
      <c r="H47" s="30" t="s">
        <v>71</v>
      </c>
      <c r="K47" s="1">
        <v>120</v>
      </c>
    </row>
    <row r="48" spans="2:11" ht="15.75" thickBot="1" x14ac:dyDescent="0.3">
      <c r="B48" s="33" t="s">
        <v>72</v>
      </c>
      <c r="C48" s="2"/>
      <c r="D48" s="2"/>
      <c r="E48" s="40">
        <f>IF(E40&lt;0,0,E40/E47)</f>
        <v>20041.666666666668</v>
      </c>
      <c r="H48" s="33" t="s">
        <v>72</v>
      </c>
      <c r="I48" s="2"/>
      <c r="J48" s="2"/>
      <c r="K48" s="40">
        <f>K40/K47</f>
        <v>0</v>
      </c>
    </row>
    <row r="49" spans="2:11" ht="15.75" thickTop="1" x14ac:dyDescent="0.25"/>
    <row r="50" spans="2:11" x14ac:dyDescent="0.25">
      <c r="B50" s="66" t="str">
        <f>Mestres!C17</f>
        <v>Art. 2-II - Dívida Consolidada em 120x</v>
      </c>
      <c r="C50" s="66"/>
      <c r="D50" s="66"/>
      <c r="E50" s="66"/>
      <c r="H50" s="66" t="str">
        <f>Mestres!C21</f>
        <v>Art. 3-I - Pagamento em 120x</v>
      </c>
      <c r="I50" s="66"/>
      <c r="J50" s="66"/>
      <c r="K50" s="66"/>
    </row>
    <row r="52" spans="2:11" x14ac:dyDescent="0.25">
      <c r="B52" s="30" t="s">
        <v>64</v>
      </c>
      <c r="E52" s="29">
        <v>0</v>
      </c>
      <c r="H52" s="30" t="s">
        <v>64</v>
      </c>
      <c r="K52" s="29">
        <v>0</v>
      </c>
    </row>
    <row r="53" spans="2:11" x14ac:dyDescent="0.25">
      <c r="B53" s="33" t="s">
        <v>65</v>
      </c>
      <c r="C53" s="2"/>
      <c r="D53" s="2"/>
      <c r="E53" s="37">
        <f>C22*E52</f>
        <v>0</v>
      </c>
      <c r="H53" s="33" t="s">
        <v>65</v>
      </c>
      <c r="I53" s="2"/>
      <c r="J53" s="2"/>
      <c r="K53" s="37">
        <f>D31*K52</f>
        <v>0</v>
      </c>
    </row>
    <row r="54" spans="2:11" x14ac:dyDescent="0.25">
      <c r="B54" s="34" t="s">
        <v>66</v>
      </c>
      <c r="C54" s="35"/>
      <c r="D54" s="35"/>
      <c r="E54" s="36">
        <f>E53/5</f>
        <v>0</v>
      </c>
      <c r="H54" s="34" t="s">
        <v>66</v>
      </c>
      <c r="I54" s="35"/>
      <c r="J54" s="35"/>
      <c r="K54" s="36">
        <f>K53/5</f>
        <v>0</v>
      </c>
    </row>
    <row r="56" spans="2:11" x14ac:dyDescent="0.25">
      <c r="B56" s="30" t="s">
        <v>68</v>
      </c>
      <c r="E56" s="24">
        <f>C22-E53</f>
        <v>1300000</v>
      </c>
      <c r="H56" s="30" t="s">
        <v>68</v>
      </c>
      <c r="K56" s="24">
        <f>D22-K53</f>
        <v>150000</v>
      </c>
    </row>
    <row r="57" spans="2:11" x14ac:dyDescent="0.25">
      <c r="B57" s="33" t="s">
        <v>69</v>
      </c>
      <c r="C57" s="2"/>
      <c r="D57" s="2"/>
      <c r="E57" s="37">
        <f>IF(E43="não",E56+E44+SUM(E59:E61),E56+E44)</f>
        <v>1300000</v>
      </c>
      <c r="H57" s="33" t="s">
        <v>69</v>
      </c>
      <c r="I57" s="2"/>
      <c r="J57" s="2"/>
      <c r="K57" s="37">
        <f>K56-K62</f>
        <v>150000</v>
      </c>
    </row>
    <row r="59" spans="2:11" x14ac:dyDescent="0.25">
      <c r="B59" s="30" t="s">
        <v>1</v>
      </c>
      <c r="C59" s="39">
        <v>0</v>
      </c>
      <c r="E59" s="24">
        <f>($C$5+$C$12)*((1-$E$35))*-C59</f>
        <v>0</v>
      </c>
      <c r="H59" s="30" t="s">
        <v>1</v>
      </c>
      <c r="I59" s="39">
        <v>0</v>
      </c>
      <c r="K59" s="24">
        <f>($C$5+$C$12)*((1-$E$35))*-I59</f>
        <v>0</v>
      </c>
    </row>
    <row r="60" spans="2:11" x14ac:dyDescent="0.25">
      <c r="B60" s="30" t="s">
        <v>2</v>
      </c>
      <c r="C60" s="39">
        <v>0</v>
      </c>
      <c r="E60" s="24">
        <f>($C$5+$C$12)*((1-$E$35))*-C60</f>
        <v>0</v>
      </c>
      <c r="H60" s="30" t="s">
        <v>2</v>
      </c>
      <c r="I60" s="39">
        <v>0</v>
      </c>
      <c r="K60" s="24">
        <f>($C$5+$C$12)*((1-$E$35))*-I60</f>
        <v>0</v>
      </c>
    </row>
    <row r="61" spans="2:11" x14ac:dyDescent="0.25">
      <c r="B61" s="30" t="s">
        <v>29</v>
      </c>
      <c r="C61" s="39">
        <v>0</v>
      </c>
      <c r="E61" s="24">
        <f>($C$5+$C$12)*((1-$E$35))*-C61</f>
        <v>0</v>
      </c>
      <c r="H61" s="30" t="s">
        <v>29</v>
      </c>
      <c r="I61" s="39">
        <v>0</v>
      </c>
      <c r="K61" s="24">
        <f>($C$5+$C$12)*((1-$E$35))*-I61</f>
        <v>0</v>
      </c>
    </row>
    <row r="62" spans="2:11" ht="17.25" x14ac:dyDescent="0.4">
      <c r="B62" s="33" t="s">
        <v>70</v>
      </c>
      <c r="E62" s="38">
        <f>SUM(E59:E61)</f>
        <v>0</v>
      </c>
      <c r="H62" s="33" t="s">
        <v>70</v>
      </c>
      <c r="K62" s="38">
        <f>SUM(K59:K61)</f>
        <v>0</v>
      </c>
    </row>
    <row r="64" spans="2:11" x14ac:dyDescent="0.25">
      <c r="B64" s="33" t="s">
        <v>71</v>
      </c>
      <c r="C64" s="2"/>
      <c r="D64" s="2"/>
      <c r="E64" s="41">
        <v>120</v>
      </c>
      <c r="H64" s="33" t="s">
        <v>71</v>
      </c>
      <c r="I64" s="2"/>
      <c r="J64" s="2"/>
      <c r="K64" s="41">
        <v>120</v>
      </c>
    </row>
    <row r="65" spans="2:11" x14ac:dyDescent="0.25">
      <c r="B65" s="43" t="s">
        <v>74</v>
      </c>
      <c r="C65" s="44">
        <v>4.0000000000000001E-3</v>
      </c>
      <c r="D65" s="2"/>
      <c r="E65" s="42">
        <f>C65*$E$57</f>
        <v>5200</v>
      </c>
      <c r="H65" s="43" t="s">
        <v>74</v>
      </c>
      <c r="I65" s="44">
        <v>4.0000000000000001E-3</v>
      </c>
      <c r="J65" s="2"/>
      <c r="K65" s="42">
        <f>I65*$K$57</f>
        <v>600</v>
      </c>
    </row>
    <row r="66" spans="2:11" x14ac:dyDescent="0.25">
      <c r="B66" s="43" t="s">
        <v>75</v>
      </c>
      <c r="C66" s="44">
        <v>5.0000000000000001E-3</v>
      </c>
      <c r="E66" s="42">
        <f>C66*$E$57</f>
        <v>6500</v>
      </c>
      <c r="H66" s="43" t="s">
        <v>75</v>
      </c>
      <c r="I66" s="44">
        <v>5.0000000000000001E-3</v>
      </c>
      <c r="K66" s="42">
        <f t="shared" ref="K66:K67" si="10">I66*$K$57</f>
        <v>750</v>
      </c>
    </row>
    <row r="67" spans="2:11" x14ac:dyDescent="0.25">
      <c r="B67" s="43" t="s">
        <v>76</v>
      </c>
      <c r="C67" s="44">
        <v>6.0000000000000001E-3</v>
      </c>
      <c r="E67" s="42">
        <f>C67*$E$57</f>
        <v>7800</v>
      </c>
      <c r="H67" s="43" t="s">
        <v>76</v>
      </c>
      <c r="I67" s="44">
        <v>6.0000000000000001E-3</v>
      </c>
      <c r="K67" s="42">
        <f t="shared" si="10"/>
        <v>900</v>
      </c>
    </row>
    <row r="68" spans="2:11" ht="17.25" x14ac:dyDescent="0.4">
      <c r="B68" s="43" t="s">
        <v>77</v>
      </c>
      <c r="C68">
        <v>84</v>
      </c>
      <c r="E68" s="45">
        <f>(E57-SUM(E65:E67))/C68</f>
        <v>15244.047619047618</v>
      </c>
      <c r="H68" s="43" t="s">
        <v>77</v>
      </c>
      <c r="I68">
        <v>84</v>
      </c>
      <c r="K68" s="45">
        <f>(K57-SUM(K65:K67))/I68</f>
        <v>1758.9285714285713</v>
      </c>
    </row>
    <row r="70" spans="2:11" x14ac:dyDescent="0.25">
      <c r="B70" s="66" t="s">
        <v>78</v>
      </c>
      <c r="C70" s="66"/>
      <c r="D70" s="66"/>
      <c r="E70" s="66"/>
      <c r="H70" s="66" t="s">
        <v>93</v>
      </c>
      <c r="I70" s="66"/>
      <c r="J70" s="66"/>
      <c r="K70" s="66"/>
    </row>
    <row r="72" spans="2:11" x14ac:dyDescent="0.25">
      <c r="B72" s="30" t="s">
        <v>64</v>
      </c>
      <c r="E72" s="29">
        <f>IF($E$26="não",7.5%,20%)</f>
        <v>7.4999999999999997E-2</v>
      </c>
      <c r="H72" s="30" t="s">
        <v>64</v>
      </c>
      <c r="K72" s="29">
        <f>IF($E$26="não",7.5%,20%)</f>
        <v>7.4999999999999997E-2</v>
      </c>
    </row>
    <row r="73" spans="2:11" x14ac:dyDescent="0.25">
      <c r="B73" s="33" t="s">
        <v>65</v>
      </c>
      <c r="C73" s="2"/>
      <c r="D73" s="2"/>
      <c r="E73" s="37">
        <f>$C$22*E72</f>
        <v>97500</v>
      </c>
      <c r="H73" s="33" t="s">
        <v>65</v>
      </c>
      <c r="I73" s="2"/>
      <c r="J73" s="2"/>
      <c r="K73" s="37">
        <f>$D$22*K72</f>
        <v>11250</v>
      </c>
    </row>
    <row r="74" spans="2:11" x14ac:dyDescent="0.25">
      <c r="B74" s="34" t="s">
        <v>66</v>
      </c>
      <c r="C74" s="35"/>
      <c r="D74" s="35"/>
      <c r="E74" s="36">
        <f>E73/5</f>
        <v>19500</v>
      </c>
      <c r="H74" s="34" t="s">
        <v>66</v>
      </c>
      <c r="I74" s="35"/>
      <c r="J74" s="35"/>
      <c r="K74" s="36">
        <f>K73/5</f>
        <v>2250</v>
      </c>
    </row>
    <row r="76" spans="2:11" x14ac:dyDescent="0.25">
      <c r="B76" s="30" t="s">
        <v>68</v>
      </c>
      <c r="E76" s="24">
        <f>$C$22-E73</f>
        <v>1202500</v>
      </c>
      <c r="H76" s="30" t="s">
        <v>68</v>
      </c>
      <c r="K76" s="24">
        <f>$D$22-K73</f>
        <v>138750</v>
      </c>
    </row>
    <row r="77" spans="2:11" x14ac:dyDescent="0.25">
      <c r="B77" s="33" t="s">
        <v>69</v>
      </c>
      <c r="C77" s="2"/>
      <c r="D77" s="2"/>
      <c r="E77" s="37">
        <f>E76</f>
        <v>1202500</v>
      </c>
      <c r="H77" s="33" t="s">
        <v>69</v>
      </c>
      <c r="I77" s="2"/>
      <c r="J77" s="2"/>
      <c r="K77" s="37">
        <f>K76</f>
        <v>138750</v>
      </c>
    </row>
    <row r="79" spans="2:11" x14ac:dyDescent="0.25">
      <c r="B79" s="64" t="s">
        <v>79</v>
      </c>
      <c r="C79" s="64"/>
      <c r="D79" s="64"/>
      <c r="E79" s="64"/>
      <c r="H79" s="64" t="s">
        <v>79</v>
      </c>
      <c r="I79" s="64"/>
      <c r="J79" s="64"/>
      <c r="K79" s="64"/>
    </row>
    <row r="81" spans="2:11" x14ac:dyDescent="0.25">
      <c r="B81" s="30" t="s">
        <v>1</v>
      </c>
      <c r="C81" s="39">
        <v>0.9</v>
      </c>
      <c r="E81" s="24">
        <f>($C5+$C12)*((1-$E$72))*-C81</f>
        <v>-83250</v>
      </c>
      <c r="H81" s="30" t="s">
        <v>1</v>
      </c>
      <c r="I81" s="39">
        <v>0.9</v>
      </c>
      <c r="K81" s="24">
        <f>($D5+$D12)*((1-$K$72))*-I81</f>
        <v>-8325</v>
      </c>
    </row>
    <row r="82" spans="2:11" x14ac:dyDescent="0.25">
      <c r="B82" s="30" t="s">
        <v>2</v>
      </c>
      <c r="C82" s="39">
        <v>0.5</v>
      </c>
      <c r="E82" s="24">
        <f>($C6+$C13)*((1-$E$72))*-C82</f>
        <v>-92500</v>
      </c>
      <c r="H82" s="30" t="s">
        <v>2</v>
      </c>
      <c r="I82" s="39">
        <v>0.5</v>
      </c>
      <c r="K82" s="24">
        <f>($D6+$D13)*((1-$K$72))*-I82</f>
        <v>-9250</v>
      </c>
    </row>
    <row r="83" spans="2:11" x14ac:dyDescent="0.25">
      <c r="B83" s="30" t="s">
        <v>29</v>
      </c>
      <c r="C83" s="39">
        <v>0</v>
      </c>
      <c r="E83" s="24">
        <f>($C7+$C14)*((1-$E$72))*-C83</f>
        <v>0</v>
      </c>
      <c r="H83" s="30" t="s">
        <v>29</v>
      </c>
      <c r="I83" s="39">
        <v>0.25</v>
      </c>
      <c r="K83" s="24">
        <f>($D7+$D14)*((1-$K$72))*-I83</f>
        <v>-4625</v>
      </c>
    </row>
    <row r="84" spans="2:11" ht="17.25" x14ac:dyDescent="0.4">
      <c r="B84" s="33" t="s">
        <v>70</v>
      </c>
      <c r="E84" s="46">
        <f>SUM(E81:E83)</f>
        <v>-175750</v>
      </c>
      <c r="F84" s="47"/>
      <c r="H84" s="33" t="s">
        <v>70</v>
      </c>
      <c r="K84" s="46">
        <f>SUM(K81:K83)</f>
        <v>-22200</v>
      </c>
    </row>
    <row r="86" spans="2:11" x14ac:dyDescent="0.25">
      <c r="B86" s="30" t="s">
        <v>71</v>
      </c>
      <c r="E86" s="1">
        <v>1</v>
      </c>
      <c r="H86" s="30" t="s">
        <v>71</v>
      </c>
      <c r="K86" s="1">
        <v>1</v>
      </c>
    </row>
    <row r="87" spans="2:11" ht="15.75" thickBot="1" x14ac:dyDescent="0.3">
      <c r="B87" s="33" t="s">
        <v>72</v>
      </c>
      <c r="C87" s="2"/>
      <c r="D87" s="2"/>
      <c r="E87" s="40">
        <f>(E$77+E84)/E86</f>
        <v>1026750</v>
      </c>
      <c r="H87" s="33" t="s">
        <v>72</v>
      </c>
      <c r="I87" s="2"/>
      <c r="J87" s="2"/>
      <c r="K87" s="40">
        <f>(K$77+K84)/K86</f>
        <v>116550</v>
      </c>
    </row>
    <row r="88" spans="2:11" ht="15.75" thickTop="1" x14ac:dyDescent="0.25">
      <c r="B88" s="43"/>
      <c r="C88" s="44"/>
      <c r="E88" s="42"/>
      <c r="H88" s="43"/>
      <c r="I88" s="44"/>
      <c r="K88" s="42"/>
    </row>
    <row r="89" spans="2:11" x14ac:dyDescent="0.25">
      <c r="B89" s="64" t="s">
        <v>80</v>
      </c>
      <c r="C89" s="64"/>
      <c r="D89" s="64"/>
      <c r="E89" s="64"/>
      <c r="H89" s="64" t="s">
        <v>80</v>
      </c>
      <c r="I89" s="64"/>
      <c r="J89" s="64"/>
      <c r="K89" s="64"/>
    </row>
    <row r="91" spans="2:11" x14ac:dyDescent="0.25">
      <c r="B91" s="30" t="s">
        <v>1</v>
      </c>
      <c r="C91" s="39">
        <v>0.8</v>
      </c>
      <c r="E91" s="24">
        <f>($C$5+$C$12)*((1-$E$35))*-C91</f>
        <v>-74000</v>
      </c>
      <c r="H91" s="30" t="s">
        <v>1</v>
      </c>
      <c r="I91" s="39">
        <v>0.8</v>
      </c>
      <c r="K91" s="24">
        <f>($D5+$D12)*((1-$K$72))*-I91</f>
        <v>-7400</v>
      </c>
    </row>
    <row r="92" spans="2:11" x14ac:dyDescent="0.25">
      <c r="B92" s="30" t="s">
        <v>2</v>
      </c>
      <c r="C92" s="39">
        <v>0.4</v>
      </c>
      <c r="E92" s="24">
        <f>($C$5+$C$12)*((1-$E$35))*-C92</f>
        <v>-37000</v>
      </c>
      <c r="H92" s="30" t="s">
        <v>2</v>
      </c>
      <c r="I92" s="39">
        <v>0.4</v>
      </c>
      <c r="K92" s="24">
        <f>($D6+$D13)*((1-$K$72))*-I92</f>
        <v>-7400</v>
      </c>
    </row>
    <row r="93" spans="2:11" x14ac:dyDescent="0.25">
      <c r="B93" s="30" t="s">
        <v>29</v>
      </c>
      <c r="C93" s="39">
        <v>0</v>
      </c>
      <c r="E93" s="24">
        <f>($C$5+$C$12)*((1-$E$35))*-C93</f>
        <v>0</v>
      </c>
      <c r="H93" s="30" t="s">
        <v>29</v>
      </c>
      <c r="I93" s="39">
        <v>0.25</v>
      </c>
      <c r="K93" s="24">
        <f>($D7+$D14)*((1-$K$72))*-I93</f>
        <v>-4625</v>
      </c>
    </row>
    <row r="94" spans="2:11" ht="17.25" x14ac:dyDescent="0.4">
      <c r="B94" s="33" t="s">
        <v>70</v>
      </c>
      <c r="E94" s="46">
        <f>SUM(E91:E93)</f>
        <v>-111000</v>
      </c>
      <c r="F94" s="47"/>
      <c r="H94" s="33" t="s">
        <v>70</v>
      </c>
      <c r="K94" s="46">
        <f>SUM(K91:K93)</f>
        <v>-19425</v>
      </c>
    </row>
    <row r="96" spans="2:11" x14ac:dyDescent="0.25">
      <c r="B96" s="30" t="s">
        <v>71</v>
      </c>
      <c r="E96" s="1">
        <v>145</v>
      </c>
      <c r="H96" s="30" t="s">
        <v>71</v>
      </c>
      <c r="K96" s="1">
        <v>145</v>
      </c>
    </row>
    <row r="97" spans="2:11" ht="15.75" thickBot="1" x14ac:dyDescent="0.3">
      <c r="B97" s="33" t="s">
        <v>72</v>
      </c>
      <c r="C97" s="2"/>
      <c r="D97" s="2"/>
      <c r="E97" s="40">
        <f>(E$77+E94)/E96</f>
        <v>7527.5862068965516</v>
      </c>
      <c r="H97" s="33" t="s">
        <v>72</v>
      </c>
      <c r="I97" s="2"/>
      <c r="J97" s="2"/>
      <c r="K97" s="40">
        <f>(K$77+K94)/K96</f>
        <v>822.93103448275861</v>
      </c>
    </row>
    <row r="98" spans="2:11" ht="15.75" thickTop="1" x14ac:dyDescent="0.25"/>
    <row r="99" spans="2:11" x14ac:dyDescent="0.25">
      <c r="B99" s="64" t="s">
        <v>81</v>
      </c>
      <c r="C99" s="64"/>
      <c r="D99" s="64"/>
      <c r="E99" s="64"/>
      <c r="H99" s="64" t="s">
        <v>81</v>
      </c>
      <c r="I99" s="64"/>
      <c r="J99" s="64"/>
      <c r="K99" s="64"/>
    </row>
    <row r="101" spans="2:11" x14ac:dyDescent="0.25">
      <c r="B101" s="30" t="s">
        <v>1</v>
      </c>
      <c r="C101" s="39">
        <v>0.5</v>
      </c>
      <c r="E101" s="24">
        <f>($C$5+$C$12)*((1-$E$35))*-C101</f>
        <v>-46250</v>
      </c>
      <c r="H101" s="30" t="s">
        <v>1</v>
      </c>
      <c r="I101" s="39">
        <v>0.5</v>
      </c>
      <c r="K101" s="24">
        <f>($C$5+$C$12)*((1-$E$35))*-I101</f>
        <v>-46250</v>
      </c>
    </row>
    <row r="102" spans="2:11" x14ac:dyDescent="0.25">
      <c r="B102" s="30" t="s">
        <v>2</v>
      </c>
      <c r="C102" s="39">
        <v>0.25</v>
      </c>
      <c r="E102" s="24">
        <f>($C$5+$C$12)*((1-$E$35))*-C102</f>
        <v>-23125</v>
      </c>
      <c r="H102" s="30" t="s">
        <v>2</v>
      </c>
      <c r="I102" s="39">
        <v>0.25</v>
      </c>
      <c r="K102" s="24">
        <f>($C$5+$C$12)*((1-$E$35))*-I102</f>
        <v>-23125</v>
      </c>
    </row>
    <row r="103" spans="2:11" x14ac:dyDescent="0.25">
      <c r="B103" s="30" t="s">
        <v>29</v>
      </c>
      <c r="C103" s="39">
        <v>0</v>
      </c>
      <c r="E103" s="24">
        <f>($C$5+$C$12)*((1-$E$35))*-C103</f>
        <v>0</v>
      </c>
      <c r="H103" s="30" t="s">
        <v>29</v>
      </c>
      <c r="I103" s="39">
        <v>0</v>
      </c>
      <c r="K103" s="24">
        <f>($C$5+$C$12)*((1-$E$35))*-I103</f>
        <v>0</v>
      </c>
    </row>
    <row r="104" spans="2:11" ht="17.25" x14ac:dyDescent="0.4">
      <c r="B104" s="33" t="s">
        <v>70</v>
      </c>
      <c r="E104" s="46">
        <f>SUM(E101:E103)</f>
        <v>-69375</v>
      </c>
      <c r="F104" s="47"/>
      <c r="H104" s="33" t="s">
        <v>70</v>
      </c>
      <c r="K104" s="46">
        <f>SUM(K101:K103)</f>
        <v>-69375</v>
      </c>
    </row>
    <row r="106" spans="2:11" x14ac:dyDescent="0.25">
      <c r="B106" s="30" t="s">
        <v>71</v>
      </c>
      <c r="E106" s="1">
        <v>175</v>
      </c>
      <c r="H106" s="30" t="s">
        <v>71</v>
      </c>
      <c r="K106" s="1">
        <v>175</v>
      </c>
    </row>
    <row r="107" spans="2:11" ht="15.75" thickBot="1" x14ac:dyDescent="0.3">
      <c r="B107" s="33" t="s">
        <v>72</v>
      </c>
      <c r="C107" s="2"/>
      <c r="D107" s="2"/>
      <c r="E107" s="40">
        <f>(E$77+E104)/E106</f>
        <v>6475</v>
      </c>
      <c r="H107" s="33" t="s">
        <v>72</v>
      </c>
      <c r="I107" s="2"/>
      <c r="J107" s="2"/>
      <c r="K107" s="40">
        <f>(K$77+K104)/K106</f>
        <v>396.42857142857144</v>
      </c>
    </row>
    <row r="108" spans="2:11" ht="15.75" thickTop="1" x14ac:dyDescent="0.25"/>
  </sheetData>
  <mergeCells count="18">
    <mergeCell ref="B70:E70"/>
    <mergeCell ref="B79:E79"/>
    <mergeCell ref="B89:E89"/>
    <mergeCell ref="B99:E99"/>
    <mergeCell ref="L3:M3"/>
    <mergeCell ref="H70:K70"/>
    <mergeCell ref="H79:K79"/>
    <mergeCell ref="H89:K89"/>
    <mergeCell ref="H99:K99"/>
    <mergeCell ref="A24:L24"/>
    <mergeCell ref="H50:K50"/>
    <mergeCell ref="B50:E50"/>
    <mergeCell ref="B33:E33"/>
    <mergeCell ref="B29:E29"/>
    <mergeCell ref="H29:K29"/>
    <mergeCell ref="H33:K33"/>
    <mergeCell ref="B31:E31"/>
    <mergeCell ref="H31:K31"/>
  </mergeCells>
  <conditionalFormatting sqref="E40">
    <cfRule type="cellIs" dxfId="0" priority="1" operator="lessThan">
      <formula>0</formula>
    </cfRule>
  </conditionalFormatting>
  <pageMargins left="0.51181102362204722" right="0.51181102362204722" top="0.78740157480314965" bottom="0.78740157480314965" header="0.31496062992125984" footer="0.31496062992125984"/>
  <pageSetup paperSize="8" scale="5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workbookViewId="0">
      <pane ySplit="4" topLeftCell="A6" activePane="bottomLeft" state="frozen"/>
      <selection pane="bottomLeft" activeCell="C25" sqref="C25"/>
    </sheetView>
  </sheetViews>
  <sheetFormatPr defaultRowHeight="15" x14ac:dyDescent="0.25"/>
  <cols>
    <col min="1" max="1" width="24.140625" bestFit="1" customWidth="1"/>
    <col min="2" max="2" width="16" bestFit="1" customWidth="1"/>
    <col min="3" max="3" width="22.7109375" bestFit="1" customWidth="1"/>
    <col min="4" max="4" width="13.42578125" customWidth="1"/>
    <col min="5" max="5" width="14.85546875" bestFit="1" customWidth="1"/>
    <col min="6" max="6" width="8.85546875" bestFit="1" customWidth="1"/>
    <col min="8" max="8" width="12.42578125" bestFit="1" customWidth="1"/>
    <col min="9" max="11" width="11" bestFit="1" customWidth="1"/>
    <col min="12" max="12" width="12.42578125" bestFit="1" customWidth="1"/>
    <col min="13" max="13" width="14.42578125" bestFit="1" customWidth="1"/>
  </cols>
  <sheetData>
    <row r="1" spans="1:13" x14ac:dyDescent="0.25">
      <c r="A1" s="2" t="s">
        <v>105</v>
      </c>
    </row>
    <row r="2" spans="1:13" x14ac:dyDescent="0.25">
      <c r="A2" s="63" t="s">
        <v>106</v>
      </c>
    </row>
    <row r="3" spans="1:13" x14ac:dyDescent="0.25">
      <c r="D3" s="88" t="s">
        <v>31</v>
      </c>
      <c r="E3" s="89">
        <v>42978</v>
      </c>
      <c r="H3" s="87">
        <f>SUBTOTAL(9,H4:H1048576)</f>
        <v>93373.61</v>
      </c>
      <c r="I3" s="87">
        <f>SUBTOTAL(9,I4:I1048576)</f>
        <v>35359.183464099995</v>
      </c>
      <c r="J3" s="87">
        <f>SUBTOTAL(9,J4:J1048576)</f>
        <v>18674.722000000002</v>
      </c>
      <c r="K3" s="87">
        <f>SUBTOTAL(9,K4:K1048576)</f>
        <v>17868.853999999999</v>
      </c>
      <c r="L3" s="87">
        <f>SUBTOTAL(9,L4:L1048576)</f>
        <v>165276.36946410002</v>
      </c>
    </row>
    <row r="4" spans="1:13" x14ac:dyDescent="0.25">
      <c r="A4" s="79" t="s">
        <v>103</v>
      </c>
      <c r="B4" s="79" t="s">
        <v>35</v>
      </c>
      <c r="C4" s="79" t="s">
        <v>7</v>
      </c>
      <c r="D4" s="79" t="s">
        <v>8</v>
      </c>
      <c r="E4" s="79" t="s">
        <v>9</v>
      </c>
      <c r="F4" s="79" t="s">
        <v>30</v>
      </c>
      <c r="G4" s="79" t="s">
        <v>32</v>
      </c>
      <c r="H4" s="79" t="s">
        <v>0</v>
      </c>
      <c r="I4" s="79" t="s">
        <v>1</v>
      </c>
      <c r="J4" s="79" t="s">
        <v>2</v>
      </c>
      <c r="K4" s="79" t="s">
        <v>29</v>
      </c>
      <c r="L4" s="79" t="s">
        <v>6</v>
      </c>
      <c r="M4" s="79" t="s">
        <v>95</v>
      </c>
    </row>
    <row r="5" spans="1:13" ht="15.75" x14ac:dyDescent="0.3">
      <c r="A5" s="80" t="s">
        <v>104</v>
      </c>
      <c r="B5" s="80" t="s">
        <v>10</v>
      </c>
      <c r="C5" s="80" t="s">
        <v>13</v>
      </c>
      <c r="D5" s="81">
        <v>42736</v>
      </c>
      <c r="E5" s="81">
        <v>42790</v>
      </c>
      <c r="F5" s="82">
        <f>$E$3-E5</f>
        <v>188</v>
      </c>
      <c r="G5" s="83">
        <f>IF(B5="Tributos Parcelados",0,(SUMIFS(Selic!E:E,Selic!A:A,YEAR(D5),Selic!B:B,MONTH(D5))+1)/100)</f>
        <v>6.6055000000000003E-2</v>
      </c>
      <c r="H5" s="84">
        <v>160.71</v>
      </c>
      <c r="I5" s="85">
        <f>G5*H5</f>
        <v>10.615699050000002</v>
      </c>
      <c r="J5" s="85">
        <f>IF(B5="Tributos Parcelados",0,IF((H5*0.33%*F5)/H5&lt;0.2,(H5*0.33%*F5),H5*0.2))</f>
        <v>32.142000000000003</v>
      </c>
      <c r="K5" s="85">
        <f>IF(B5="Dívida Ativa",H5*0.2,0)</f>
        <v>0</v>
      </c>
      <c r="L5" s="85">
        <f>SUM(H5:K5)</f>
        <v>203.46769904999999</v>
      </c>
      <c r="M5" s="27"/>
    </row>
    <row r="6" spans="1:13" ht="15.75" x14ac:dyDescent="0.3">
      <c r="A6" s="80" t="s">
        <v>104</v>
      </c>
      <c r="B6" s="80" t="s">
        <v>10</v>
      </c>
      <c r="C6" s="80" t="s">
        <v>13</v>
      </c>
      <c r="D6" s="81">
        <v>42795</v>
      </c>
      <c r="E6" s="81">
        <v>42850</v>
      </c>
      <c r="F6" s="82">
        <f>$E$3-E6</f>
        <v>128</v>
      </c>
      <c r="G6" s="83">
        <f>IF(B6="Tributos Parcelados",0,(SUMIFS(Selic!E:E,Selic!A:A,YEAR(D6),Selic!B:B,MONTH(D6))+1)/100)</f>
        <v>4.6109999999999998E-2</v>
      </c>
      <c r="H6" s="84">
        <v>686.37</v>
      </c>
      <c r="I6" s="85">
        <f>G6*H6</f>
        <v>31.648520699999999</v>
      </c>
      <c r="J6" s="85">
        <f>IF(B6="Tributos Parcelados",0,IF((H6*0.33%*F6)/H6&lt;0.2,(H6*0.33%*F6),H6*0.2))</f>
        <v>137.274</v>
      </c>
      <c r="K6" s="85">
        <f>IF(B6="Dívida Ativa",H6*0.2,0)</f>
        <v>0</v>
      </c>
      <c r="L6" s="85">
        <f>SUM(H6:K6)</f>
        <v>855.29252069999995</v>
      </c>
      <c r="M6" s="27"/>
    </row>
    <row r="7" spans="1:13" ht="15.75" x14ac:dyDescent="0.3">
      <c r="A7" s="80" t="s">
        <v>104</v>
      </c>
      <c r="B7" s="80" t="s">
        <v>10</v>
      </c>
      <c r="C7" s="80" t="s">
        <v>13</v>
      </c>
      <c r="D7" s="81">
        <v>42826</v>
      </c>
      <c r="E7" s="81">
        <v>42880</v>
      </c>
      <c r="F7" s="82">
        <f>$E$3-E7</f>
        <v>98</v>
      </c>
      <c r="G7" s="83">
        <f>IF(B7="Tributos Parcelados",0,(SUMIFS(Selic!E:E,Selic!A:A,YEAR(D7),Selic!B:B,MONTH(D7))+1)/100)</f>
        <v>3.6247000000000001E-2</v>
      </c>
      <c r="H7" s="84">
        <v>632.70000000000005</v>
      </c>
      <c r="I7" s="85">
        <f>G7*H7</f>
        <v>22.933476900000002</v>
      </c>
      <c r="J7" s="85">
        <f>IF(B7="Tributos Parcelados",0,IF((H7*0.33%*F7)/H7&lt;0.2,(H7*0.33%*F7),H7*0.2))</f>
        <v>126.54000000000002</v>
      </c>
      <c r="K7" s="85">
        <f>IF(B7="Dívida Ativa",H7*0.2,0)</f>
        <v>0</v>
      </c>
      <c r="L7" s="85">
        <f>SUM(H7:K7)</f>
        <v>782.17347689999997</v>
      </c>
      <c r="M7" s="27"/>
    </row>
    <row r="8" spans="1:13" ht="15.75" x14ac:dyDescent="0.3">
      <c r="A8" s="80" t="s">
        <v>104</v>
      </c>
      <c r="B8" s="80" t="s">
        <v>11</v>
      </c>
      <c r="C8" s="80" t="s">
        <v>14</v>
      </c>
      <c r="D8" s="81">
        <v>41518</v>
      </c>
      <c r="E8" s="81">
        <v>41578</v>
      </c>
      <c r="F8" s="82">
        <f>$E$3-E8</f>
        <v>1400</v>
      </c>
      <c r="G8" s="83">
        <f>IF(B8="Tributos Parcelados",0,(SUMIFS(Selic!E:E,Selic!A:A,YEAR(D8),Selic!B:B,MONTH(D8))+1)/100)</f>
        <v>0.46095899999999995</v>
      </c>
      <c r="H8" s="84">
        <v>5499.04</v>
      </c>
      <c r="I8" s="85">
        <f>G8*H8</f>
        <v>2534.8319793599999</v>
      </c>
      <c r="J8" s="85">
        <f>IF(B8="Tributos Parcelados",0,IF((H8*0.33%*F8)/H8&lt;0.2,(H8*0.33%*F8),H8*0.2))</f>
        <v>1099.808</v>
      </c>
      <c r="K8" s="85">
        <f>IF(B8="Dívida Ativa",H8*0.2,0)</f>
        <v>1099.808</v>
      </c>
      <c r="L8" s="85">
        <f>SUM(H8:K8)</f>
        <v>10233.487979360001</v>
      </c>
      <c r="M8" s="86" t="s">
        <v>96</v>
      </c>
    </row>
    <row r="9" spans="1:13" ht="15.75" x14ac:dyDescent="0.3">
      <c r="A9" s="80" t="s">
        <v>104</v>
      </c>
      <c r="B9" s="80" t="s">
        <v>11</v>
      </c>
      <c r="C9" s="80" t="s">
        <v>14</v>
      </c>
      <c r="D9" s="81">
        <v>41699</v>
      </c>
      <c r="E9" s="81">
        <v>41746</v>
      </c>
      <c r="F9" s="82">
        <f>$E$3-E9</f>
        <v>1232</v>
      </c>
      <c r="G9" s="83">
        <f>IF(B9="Tributos Parcelados",0,(SUMIFS(Selic!E:E,Selic!A:A,YEAR(D9),Selic!B:B,MONTH(D9))+1)/100)</f>
        <v>0.41454499999999983</v>
      </c>
      <c r="H9" s="84">
        <v>1000.43</v>
      </c>
      <c r="I9" s="85">
        <f>G9*H9</f>
        <v>414.72325434999982</v>
      </c>
      <c r="J9" s="85">
        <f>IF(B9="Tributos Parcelados",0,IF((H9*0.33%*F9)/H9&lt;0.2,(H9*0.33%*F9),H9*0.2))</f>
        <v>200.08600000000001</v>
      </c>
      <c r="K9" s="85">
        <f>IF(B9="Dívida Ativa",H9*0.2,0)</f>
        <v>200.08600000000001</v>
      </c>
      <c r="L9" s="85">
        <f>SUM(H9:K9)</f>
        <v>1815.3252543499998</v>
      </c>
      <c r="M9" s="86">
        <v>5141600002803</v>
      </c>
    </row>
    <row r="10" spans="1:13" ht="15.75" x14ac:dyDescent="0.3">
      <c r="A10" s="80" t="s">
        <v>104</v>
      </c>
      <c r="B10" s="80" t="s">
        <v>11</v>
      </c>
      <c r="C10" s="80" t="s">
        <v>14</v>
      </c>
      <c r="D10" s="81">
        <v>41699</v>
      </c>
      <c r="E10" s="81">
        <v>41759</v>
      </c>
      <c r="F10" s="82">
        <f>$E$3-E10</f>
        <v>1219</v>
      </c>
      <c r="G10" s="83">
        <f>IF(B10="Tributos Parcelados",0,(SUMIFS(Selic!E:E,Selic!A:A,YEAR(D10),Selic!B:B,MONTH(D10))+1)/100)</f>
        <v>0.41454499999999983</v>
      </c>
      <c r="H10" s="84">
        <v>3199.22</v>
      </c>
      <c r="I10" s="85">
        <f>G10*H10</f>
        <v>1326.2206548999993</v>
      </c>
      <c r="J10" s="85">
        <f>IF(B10="Tributos Parcelados",0,IF((H10*0.33%*F10)/H10&lt;0.2,(H10*0.33%*F10),H10*0.2))</f>
        <v>639.84400000000005</v>
      </c>
      <c r="K10" s="85">
        <f>IF(B10="Dívida Ativa",H10*0.2,0)</f>
        <v>639.84400000000005</v>
      </c>
      <c r="L10" s="85">
        <f>SUM(H10:K10)</f>
        <v>5805.1286548999997</v>
      </c>
      <c r="M10" s="86" t="s">
        <v>97</v>
      </c>
    </row>
    <row r="11" spans="1:13" ht="15.75" x14ac:dyDescent="0.3">
      <c r="A11" s="80" t="s">
        <v>104</v>
      </c>
      <c r="B11" s="80" t="s">
        <v>11</v>
      </c>
      <c r="C11" s="80" t="s">
        <v>14</v>
      </c>
      <c r="D11" s="81">
        <v>41730</v>
      </c>
      <c r="E11" s="81">
        <v>41779</v>
      </c>
      <c r="F11" s="82">
        <f>$E$3-E11</f>
        <v>1199</v>
      </c>
      <c r="G11" s="83">
        <f>IF(B11="Tributos Parcelados",0,(SUMIFS(Selic!E:E,Selic!A:A,YEAR(D11),Selic!B:B,MONTH(D11))+1)/100)</f>
        <v>0.40583499999999989</v>
      </c>
      <c r="H11" s="84">
        <v>23.58</v>
      </c>
      <c r="I11" s="85">
        <f>G11*H11</f>
        <v>9.569589299999997</v>
      </c>
      <c r="J11" s="85">
        <f>IF(B11="Tributos Parcelados",0,IF((H11*0.33%*F11)/H11&lt;0.2,(H11*0.33%*F11),H11*0.2))</f>
        <v>4.7160000000000002</v>
      </c>
      <c r="K11" s="85">
        <f>IF(B11="Dívida Ativa",H11*0.2,0)</f>
        <v>4.7160000000000002</v>
      </c>
      <c r="L11" s="85">
        <f>SUM(H11:K11)</f>
        <v>42.581589299999997</v>
      </c>
      <c r="M11" s="86">
        <v>5141600002803</v>
      </c>
    </row>
    <row r="12" spans="1:13" ht="15.75" x14ac:dyDescent="0.3">
      <c r="A12" s="80" t="s">
        <v>104</v>
      </c>
      <c r="B12" s="80" t="s">
        <v>11</v>
      </c>
      <c r="C12" s="80" t="s">
        <v>14</v>
      </c>
      <c r="D12" s="81">
        <v>41760</v>
      </c>
      <c r="E12" s="81">
        <v>41810</v>
      </c>
      <c r="F12" s="82">
        <f>$E$3-E12</f>
        <v>1168</v>
      </c>
      <c r="G12" s="83">
        <f>IF(B12="Tributos Parcelados",0,(SUMIFS(Selic!E:E,Selic!A:A,YEAR(D12),Selic!B:B,MONTH(D12))+1)/100)</f>
        <v>0.39723299999999989</v>
      </c>
      <c r="H12" s="84">
        <v>2165.98</v>
      </c>
      <c r="I12" s="85">
        <f>G12*H12</f>
        <v>860.39873333999981</v>
      </c>
      <c r="J12" s="85">
        <f>IF(B12="Tributos Parcelados",0,IF((H12*0.33%*F12)/H12&lt;0.2,(H12*0.33%*F12),H12*0.2))</f>
        <v>433.19600000000003</v>
      </c>
      <c r="K12" s="85">
        <f>IF(B12="Dívida Ativa",H12*0.2,0)</f>
        <v>433.19600000000003</v>
      </c>
      <c r="L12" s="85">
        <f>SUM(H12:K12)</f>
        <v>3892.7707333399994</v>
      </c>
      <c r="M12" s="86">
        <v>5141600002803</v>
      </c>
    </row>
    <row r="13" spans="1:13" ht="15.75" x14ac:dyDescent="0.3">
      <c r="A13" s="80" t="s">
        <v>104</v>
      </c>
      <c r="B13" s="80" t="s">
        <v>11</v>
      </c>
      <c r="C13" s="80" t="s">
        <v>14</v>
      </c>
      <c r="D13" s="81">
        <v>41791</v>
      </c>
      <c r="E13" s="81">
        <v>41840</v>
      </c>
      <c r="F13" s="82">
        <f>$E$3-E13</f>
        <v>1138</v>
      </c>
      <c r="G13" s="83">
        <f>IF(B13="Tributos Parcelados",0,(SUMIFS(Selic!E:E,Selic!A:A,YEAR(D13),Selic!B:B,MONTH(D13))+1)/100)</f>
        <v>0.38861899999999983</v>
      </c>
      <c r="H13" s="84">
        <v>15.98</v>
      </c>
      <c r="I13" s="85">
        <f>G13*H13</f>
        <v>6.2101316199999976</v>
      </c>
      <c r="J13" s="85">
        <f>IF(B13="Tributos Parcelados",0,IF((H13*0.33%*F13)/H13&lt;0.2,(H13*0.33%*F13),H13*0.2))</f>
        <v>3.1960000000000002</v>
      </c>
      <c r="K13" s="85">
        <f>IF(B13="Dívida Ativa",H13*0.2,0)</f>
        <v>3.1960000000000002</v>
      </c>
      <c r="L13" s="85">
        <f>SUM(H13:K13)</f>
        <v>28.582131620000002</v>
      </c>
      <c r="M13" s="86">
        <v>5141600002803</v>
      </c>
    </row>
    <row r="14" spans="1:13" ht="15.75" x14ac:dyDescent="0.3">
      <c r="A14" s="80" t="s">
        <v>104</v>
      </c>
      <c r="B14" s="80" t="s">
        <v>11</v>
      </c>
      <c r="C14" s="80" t="s">
        <v>14</v>
      </c>
      <c r="D14" s="81">
        <v>41791</v>
      </c>
      <c r="E14" s="81">
        <v>41851</v>
      </c>
      <c r="F14" s="82">
        <f>$E$3-E14</f>
        <v>1127</v>
      </c>
      <c r="G14" s="83">
        <f>IF(B14="Tributos Parcelados",0,(SUMIFS(Selic!E:E,Selic!A:A,YEAR(D14),Selic!B:B,MONTH(D14))+1)/100)</f>
        <v>0.38861899999999983</v>
      </c>
      <c r="H14" s="84">
        <v>2100.9499999999998</v>
      </c>
      <c r="I14" s="85">
        <f>G14*H14</f>
        <v>816.46908804999953</v>
      </c>
      <c r="J14" s="85">
        <f>IF(B14="Tributos Parcelados",0,IF((H14*0.33%*F14)/H14&lt;0.2,(H14*0.33%*F14),H14*0.2))</f>
        <v>420.19</v>
      </c>
      <c r="K14" s="85">
        <f>IF(B14="Dívida Ativa",H14*0.2,0)</f>
        <v>420.19</v>
      </c>
      <c r="L14" s="85">
        <f>SUM(H14:K14)</f>
        <v>3757.7990880499992</v>
      </c>
      <c r="M14" s="86" t="s">
        <v>97</v>
      </c>
    </row>
    <row r="15" spans="1:13" ht="15.75" x14ac:dyDescent="0.3">
      <c r="A15" s="80" t="s">
        <v>104</v>
      </c>
      <c r="B15" s="80" t="s">
        <v>11</v>
      </c>
      <c r="C15" s="80" t="s">
        <v>14</v>
      </c>
      <c r="D15" s="81">
        <v>41821</v>
      </c>
      <c r="E15" s="81">
        <v>41871</v>
      </c>
      <c r="F15" s="82">
        <f>$E$3-E15</f>
        <v>1107</v>
      </c>
      <c r="G15" s="83">
        <f>IF(B15="Tributos Parcelados",0,(SUMIFS(Selic!E:E,Selic!A:A,YEAR(D15),Selic!B:B,MONTH(D15))+1)/100)</f>
        <v>0.38000499999999987</v>
      </c>
      <c r="H15" s="84">
        <v>2293.08</v>
      </c>
      <c r="I15" s="85">
        <f>G15*H15</f>
        <v>871.3818653999997</v>
      </c>
      <c r="J15" s="85">
        <f>IF(B15="Tributos Parcelados",0,IF((H15*0.33%*F15)/H15&lt;0.2,(H15*0.33%*F15),H15*0.2))</f>
        <v>458.61599999999999</v>
      </c>
      <c r="K15" s="85">
        <f>IF(B15="Dívida Ativa",H15*0.2,0)</f>
        <v>458.61599999999999</v>
      </c>
      <c r="L15" s="85">
        <f>SUM(H15:K15)</f>
        <v>4081.6938653999996</v>
      </c>
      <c r="M15" s="86">
        <v>5141600002803</v>
      </c>
    </row>
    <row r="16" spans="1:13" ht="15.75" x14ac:dyDescent="0.3">
      <c r="A16" s="80" t="s">
        <v>104</v>
      </c>
      <c r="B16" s="80" t="s">
        <v>11</v>
      </c>
      <c r="C16" s="80" t="s">
        <v>14</v>
      </c>
      <c r="D16" s="81">
        <v>41852</v>
      </c>
      <c r="E16" s="81">
        <v>41902</v>
      </c>
      <c r="F16" s="82">
        <f>$E$3-E16</f>
        <v>1076</v>
      </c>
      <c r="G16" s="83">
        <f>IF(B16="Tributos Parcelados",0,(SUMIFS(Selic!E:E,Selic!A:A,YEAR(D16),Selic!B:B,MONTH(D16))+1)/100)</f>
        <v>0.37110199999999993</v>
      </c>
      <c r="H16" s="84">
        <v>2615.98</v>
      </c>
      <c r="I16" s="85">
        <f>G16*H16</f>
        <v>970.7954099599998</v>
      </c>
      <c r="J16" s="85">
        <f>IF(B16="Tributos Parcelados",0,IF((H16*0.33%*F16)/H16&lt;0.2,(H16*0.33%*F16),H16*0.2))</f>
        <v>523.19600000000003</v>
      </c>
      <c r="K16" s="85">
        <f>IF(B16="Dívida Ativa",H16*0.2,0)</f>
        <v>523.19600000000003</v>
      </c>
      <c r="L16" s="85">
        <f>SUM(H16:K16)</f>
        <v>4633.1674099599995</v>
      </c>
      <c r="M16" s="86">
        <v>5141600002803</v>
      </c>
    </row>
    <row r="17" spans="1:13" ht="15.75" x14ac:dyDescent="0.3">
      <c r="A17" s="80" t="s">
        <v>104</v>
      </c>
      <c r="B17" s="80" t="s">
        <v>11</v>
      </c>
      <c r="C17" s="80" t="s">
        <v>14</v>
      </c>
      <c r="D17" s="81">
        <v>41883</v>
      </c>
      <c r="E17" s="81">
        <v>41932</v>
      </c>
      <c r="F17" s="82">
        <f>$E$3-E17</f>
        <v>1046</v>
      </c>
      <c r="G17" s="83">
        <f>IF(B17="Tributos Parcelados",0,(SUMIFS(Selic!E:E,Selic!A:A,YEAR(D17),Selic!B:B,MONTH(D17))+1)/100)</f>
        <v>0.36219899999999988</v>
      </c>
      <c r="H17" s="84">
        <v>73.34</v>
      </c>
      <c r="I17" s="85">
        <f>G17*H17</f>
        <v>26.563674659999993</v>
      </c>
      <c r="J17" s="85">
        <f>IF(B17="Tributos Parcelados",0,IF((H17*0.33%*F17)/H17&lt;0.2,(H17*0.33%*F17),H17*0.2))</f>
        <v>14.668000000000001</v>
      </c>
      <c r="K17" s="85">
        <f>IF(B17="Dívida Ativa",H17*0.2,0)</f>
        <v>14.668000000000001</v>
      </c>
      <c r="L17" s="85">
        <f>SUM(H17:K17)</f>
        <v>129.23967465999999</v>
      </c>
      <c r="M17" s="86">
        <v>5141600002803</v>
      </c>
    </row>
    <row r="18" spans="1:13" ht="15.75" x14ac:dyDescent="0.3">
      <c r="A18" s="80" t="s">
        <v>104</v>
      </c>
      <c r="B18" s="80" t="s">
        <v>11</v>
      </c>
      <c r="C18" s="80" t="s">
        <v>14</v>
      </c>
      <c r="D18" s="81">
        <v>41883</v>
      </c>
      <c r="E18" s="81">
        <v>41943</v>
      </c>
      <c r="F18" s="82">
        <f>$E$3-E18</f>
        <v>1035</v>
      </c>
      <c r="G18" s="83">
        <f>IF(B18="Tributos Parcelados",0,(SUMIFS(Selic!E:E,Selic!A:A,YEAR(D18),Selic!B:B,MONTH(D18))+1)/100)</f>
        <v>0.36219899999999988</v>
      </c>
      <c r="H18" s="84">
        <v>6091.65</v>
      </c>
      <c r="I18" s="85">
        <f>G18*H18</f>
        <v>2206.3895383499989</v>
      </c>
      <c r="J18" s="85">
        <f>IF(B18="Tributos Parcelados",0,IF((H18*0.33%*F18)/H18&lt;0.2,(H18*0.33%*F18),H18*0.2))</f>
        <v>1218.33</v>
      </c>
      <c r="K18" s="85">
        <f>IF(B18="Dívida Ativa",H18*0.2,0)</f>
        <v>1218.33</v>
      </c>
      <c r="L18" s="85">
        <f>SUM(H18:K18)</f>
        <v>10734.699538349998</v>
      </c>
      <c r="M18" s="86" t="s">
        <v>97</v>
      </c>
    </row>
    <row r="19" spans="1:13" ht="15.75" x14ac:dyDescent="0.3">
      <c r="A19" s="80" t="s">
        <v>104</v>
      </c>
      <c r="B19" s="80" t="s">
        <v>10</v>
      </c>
      <c r="C19" s="80" t="s">
        <v>14</v>
      </c>
      <c r="D19" s="81">
        <v>42795</v>
      </c>
      <c r="E19" s="81">
        <v>42853</v>
      </c>
      <c r="F19" s="82">
        <f>$E$3-E19</f>
        <v>125</v>
      </c>
      <c r="G19" s="83">
        <f>IF(B19="Tributos Parcelados",0,(SUMIFS(Selic!E:E,Selic!A:A,YEAR(D19),Selic!B:B,MONTH(D19))+1)/100)</f>
        <v>4.6109999999999998E-2</v>
      </c>
      <c r="H19" s="84">
        <v>970.5</v>
      </c>
      <c r="I19" s="85">
        <f>G19*H19</f>
        <v>44.749755</v>
      </c>
      <c r="J19" s="85">
        <f>IF(B19="Tributos Parcelados",0,IF((H19*0.33%*F19)/H19&lt;0.2,(H19*0.33%*F19),H19*0.2))</f>
        <v>194.10000000000002</v>
      </c>
      <c r="K19" s="85">
        <f>IF(B19="Dívida Ativa",H19*0.2,0)</f>
        <v>0</v>
      </c>
      <c r="L19" s="85">
        <f>SUM(H19:K19)</f>
        <v>1209.3497550000002</v>
      </c>
      <c r="M19" s="27"/>
    </row>
    <row r="20" spans="1:13" ht="15.75" x14ac:dyDescent="0.3">
      <c r="A20" s="80" t="s">
        <v>104</v>
      </c>
      <c r="B20" s="80" t="s">
        <v>11</v>
      </c>
      <c r="C20" s="80" t="s">
        <v>12</v>
      </c>
      <c r="D20" s="81">
        <v>41518</v>
      </c>
      <c r="E20" s="81">
        <v>41578</v>
      </c>
      <c r="F20" s="82">
        <f>$E$3-E20</f>
        <v>1400</v>
      </c>
      <c r="G20" s="83">
        <f>IF(B20="Tributos Parcelados",0,(SUMIFS(Selic!E:E,Selic!A:A,YEAR(D20),Selic!B:B,MONTH(D20))+1)/100)</f>
        <v>0.46095899999999995</v>
      </c>
      <c r="H20" s="84">
        <v>16275.04</v>
      </c>
      <c r="I20" s="85">
        <f>G20*H20</f>
        <v>7502.1261633599997</v>
      </c>
      <c r="J20" s="85">
        <f>IF(B20="Tributos Parcelados",0,IF((H20*0.33%*F20)/H20&lt;0.2,(H20*0.33%*F20),H20*0.2))</f>
        <v>3255.0080000000003</v>
      </c>
      <c r="K20" s="85">
        <f>IF(B20="Dívida Ativa",H20*0.2,0)</f>
        <v>3255.0080000000003</v>
      </c>
      <c r="L20" s="85">
        <f>SUM(H20:K20)</f>
        <v>30287.182163360005</v>
      </c>
      <c r="M20" s="86">
        <v>5121600010607</v>
      </c>
    </row>
    <row r="21" spans="1:13" ht="15.75" x14ac:dyDescent="0.3">
      <c r="A21" s="80" t="s">
        <v>104</v>
      </c>
      <c r="B21" s="80" t="s">
        <v>11</v>
      </c>
      <c r="C21" s="80" t="s">
        <v>12</v>
      </c>
      <c r="D21" s="81">
        <v>41699</v>
      </c>
      <c r="E21" s="81">
        <v>41759</v>
      </c>
      <c r="F21" s="82">
        <f>$E$3-E21</f>
        <v>1219</v>
      </c>
      <c r="G21" s="83">
        <f>IF(B21="Tributos Parcelados",0,(SUMIFS(Selic!E:E,Selic!A:A,YEAR(D21),Selic!B:B,MONTH(D21))+1)/100)</f>
        <v>0.41454499999999983</v>
      </c>
      <c r="H21" s="84">
        <v>12599.65</v>
      </c>
      <c r="I21" s="85">
        <f>G21*H21</f>
        <v>5223.1219092499978</v>
      </c>
      <c r="J21" s="85">
        <f>IF(B21="Tributos Parcelados",0,IF((H21*0.33%*F21)/H21&lt;0.2,(H21*0.33%*F21),H21*0.2))</f>
        <v>2519.9300000000003</v>
      </c>
      <c r="K21" s="85">
        <f>IF(B21="Dívida Ativa",H21*0.2,0)</f>
        <v>2519.9300000000003</v>
      </c>
      <c r="L21" s="85">
        <f>SUM(H21:K21)</f>
        <v>22862.631909249998</v>
      </c>
      <c r="M21" s="86">
        <v>5121600016710</v>
      </c>
    </row>
    <row r="22" spans="1:13" ht="15.75" x14ac:dyDescent="0.3">
      <c r="A22" s="80" t="s">
        <v>104</v>
      </c>
      <c r="B22" s="80" t="s">
        <v>11</v>
      </c>
      <c r="C22" s="80" t="s">
        <v>12</v>
      </c>
      <c r="D22" s="81">
        <v>41791</v>
      </c>
      <c r="E22" s="81">
        <v>41851</v>
      </c>
      <c r="F22" s="82">
        <f>$E$3-E22</f>
        <v>1127</v>
      </c>
      <c r="G22" s="83">
        <f>IF(B22="Tributos Parcelados",0,(SUMIFS(Selic!E:E,Selic!A:A,YEAR(D22),Selic!B:B,MONTH(D22))+1)/100)</f>
        <v>0.38861899999999983</v>
      </c>
      <c r="H22" s="84">
        <v>3736.68</v>
      </c>
      <c r="I22" s="85">
        <f>G22*H22</f>
        <v>1452.1448449199993</v>
      </c>
      <c r="J22" s="85">
        <f>IF(B22="Tributos Parcelados",0,IF((H22*0.33%*F22)/H22&lt;0.2,(H22*0.33%*F22),H22*0.2))</f>
        <v>747.33600000000001</v>
      </c>
      <c r="K22" s="85">
        <f>IF(B22="Dívida Ativa",H22*0.2,0)</f>
        <v>747.33600000000001</v>
      </c>
      <c r="L22" s="85">
        <f>SUM(H22:K22)</f>
        <v>6683.4968449199996</v>
      </c>
      <c r="M22" s="86">
        <v>5121600016710</v>
      </c>
    </row>
    <row r="23" spans="1:13" ht="15.75" x14ac:dyDescent="0.3">
      <c r="A23" s="80" t="s">
        <v>104</v>
      </c>
      <c r="B23" s="80" t="s">
        <v>11</v>
      </c>
      <c r="C23" s="80" t="s">
        <v>12</v>
      </c>
      <c r="D23" s="81">
        <v>41883</v>
      </c>
      <c r="E23" s="81">
        <v>41943</v>
      </c>
      <c r="F23" s="82">
        <f>$E$3-E23</f>
        <v>1035</v>
      </c>
      <c r="G23" s="83">
        <f>IF(B23="Tributos Parcelados",0,(SUMIFS(Selic!E:E,Selic!A:A,YEAR(D23),Selic!B:B,MONTH(D23))+1)/100)</f>
        <v>0.36219899999999988</v>
      </c>
      <c r="H23" s="84">
        <v>12305.06</v>
      </c>
      <c r="I23" s="85">
        <f>G23*H23</f>
        <v>4456.880426939998</v>
      </c>
      <c r="J23" s="85">
        <f>IF(B23="Tributos Parcelados",0,IF((H23*0.33%*F23)/H23&lt;0.2,(H23*0.33%*F23),H23*0.2))</f>
        <v>2461.0120000000002</v>
      </c>
      <c r="K23" s="85">
        <f>IF(B23="Dívida Ativa",H23*0.2,0)</f>
        <v>2461.0120000000002</v>
      </c>
      <c r="L23" s="85">
        <f>SUM(H23:K23)</f>
        <v>21683.964426939994</v>
      </c>
      <c r="M23" s="86">
        <v>5121600016710</v>
      </c>
    </row>
    <row r="24" spans="1:13" ht="15.75" x14ac:dyDescent="0.3">
      <c r="A24" s="80" t="s">
        <v>104</v>
      </c>
      <c r="B24" s="80" t="s">
        <v>11</v>
      </c>
      <c r="C24" s="80" t="s">
        <v>12</v>
      </c>
      <c r="D24" s="81">
        <v>41974</v>
      </c>
      <c r="E24" s="81">
        <v>42034</v>
      </c>
      <c r="F24" s="82">
        <f>$E$3-E24</f>
        <v>944</v>
      </c>
      <c r="G24" s="83">
        <f>IF(B24="Tributos Parcelados",0,(SUMIFS(Selic!E:E,Selic!A:A,YEAR(D24),Selic!B:B,MONTH(D24))+1)/100)</f>
        <v>0.33586899999999997</v>
      </c>
      <c r="H24" s="84">
        <v>19348.61</v>
      </c>
      <c r="I24" s="85">
        <f>G24*H24</f>
        <v>6498.5982920899996</v>
      </c>
      <c r="J24" s="85">
        <f>IF(B24="Tributos Parcelados",0,IF((H24*0.33%*F24)/H24&lt;0.2,(H24*0.33%*F24),H24*0.2))</f>
        <v>3869.7220000000002</v>
      </c>
      <c r="K24" s="85">
        <f>IF(B24="Dívida Ativa",H24*0.2,0)</f>
        <v>3869.7220000000002</v>
      </c>
      <c r="L24" s="85">
        <f>SUM(H24:K24)</f>
        <v>33586.652292090002</v>
      </c>
      <c r="M24" s="86">
        <v>5121600139634</v>
      </c>
    </row>
    <row r="25" spans="1:13" ht="15.75" x14ac:dyDescent="0.3">
      <c r="A25" s="80" t="s">
        <v>104</v>
      </c>
      <c r="B25" s="80" t="s">
        <v>10</v>
      </c>
      <c r="C25" s="80" t="s">
        <v>12</v>
      </c>
      <c r="D25" s="81">
        <v>42795</v>
      </c>
      <c r="E25" s="81">
        <v>42853</v>
      </c>
      <c r="F25" s="82">
        <f>$E$3-E25</f>
        <v>125</v>
      </c>
      <c r="G25" s="83">
        <f>IF(B25="Tributos Parcelados",0,(SUMIFS(Selic!E:E,Selic!A:A,YEAR(D25),Selic!B:B,MONTH(D25))+1)/100)</f>
        <v>4.6109999999999998E-2</v>
      </c>
      <c r="H25" s="84">
        <v>1579.06</v>
      </c>
      <c r="I25" s="85">
        <f>G25*H25</f>
        <v>72.810456599999995</v>
      </c>
      <c r="J25" s="85">
        <f>IF(B25="Tributos Parcelados",0,IF((H25*0.33%*F25)/H25&lt;0.2,(H25*0.33%*F25),H25*0.2))</f>
        <v>315.81200000000001</v>
      </c>
      <c r="K25" s="85">
        <f>IF(B25="Dívida Ativa",H25*0.2,0)</f>
        <v>0</v>
      </c>
      <c r="L25" s="85">
        <f>SUM(H25:K25)</f>
        <v>1967.6824566</v>
      </c>
      <c r="M25" s="27"/>
    </row>
  </sheetData>
  <autoFilter ref="A4:M25">
    <sortState ref="A5:M25">
      <sortCondition ref="C4:C25"/>
    </sortState>
  </autoFilter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4"/>
  <sheetViews>
    <sheetView showGridLines="0" topLeftCell="A2" workbookViewId="0">
      <pane ySplit="2" topLeftCell="A6" activePane="bottomLeft" state="frozen"/>
      <selection activeCell="A2" sqref="A2"/>
      <selection pane="bottomLeft" activeCell="F24" sqref="F24"/>
    </sheetView>
  </sheetViews>
  <sheetFormatPr defaultRowHeight="15" x14ac:dyDescent="0.25"/>
  <cols>
    <col min="2" max="2" width="4.5703125" bestFit="1" customWidth="1"/>
    <col min="3" max="3" width="62.28515625" bestFit="1" customWidth="1"/>
    <col min="4" max="4" width="13.140625" customWidth="1"/>
    <col min="5" max="5" width="6.7109375" bestFit="1" customWidth="1"/>
    <col min="6" max="6" width="7.5703125" bestFit="1" customWidth="1"/>
    <col min="7" max="7" width="5.28515625" bestFit="1" customWidth="1"/>
    <col min="8" max="8" width="5.5703125" bestFit="1" customWidth="1"/>
    <col min="9" max="9" width="6.28515625" bestFit="1" customWidth="1"/>
  </cols>
  <sheetData>
    <row r="1" spans="2:9" x14ac:dyDescent="0.25">
      <c r="C1" s="2"/>
    </row>
    <row r="2" spans="2:9" x14ac:dyDescent="0.25">
      <c r="C2" s="77" t="s">
        <v>101</v>
      </c>
    </row>
    <row r="3" spans="2:9" x14ac:dyDescent="0.25">
      <c r="B3" s="25" t="s">
        <v>40</v>
      </c>
      <c r="C3" s="26" t="s">
        <v>41</v>
      </c>
      <c r="D3" s="25" t="s">
        <v>34</v>
      </c>
      <c r="E3" s="25" t="s">
        <v>42</v>
      </c>
      <c r="F3" s="25" t="s">
        <v>44</v>
      </c>
      <c r="G3" s="25" t="s">
        <v>1</v>
      </c>
      <c r="H3" s="25" t="s">
        <v>2</v>
      </c>
      <c r="I3" s="25" t="s">
        <v>29</v>
      </c>
    </row>
    <row r="4" spans="2:9" ht="15.75" x14ac:dyDescent="0.3">
      <c r="B4" s="71">
        <v>1</v>
      </c>
      <c r="C4" s="72" t="s">
        <v>45</v>
      </c>
      <c r="D4" s="73" t="s">
        <v>4</v>
      </c>
      <c r="E4" s="74">
        <v>0.2</v>
      </c>
      <c r="F4" s="71" t="s">
        <v>46</v>
      </c>
      <c r="G4" s="74">
        <v>0</v>
      </c>
      <c r="H4" s="74">
        <v>0</v>
      </c>
      <c r="I4" s="74">
        <v>0</v>
      </c>
    </row>
    <row r="5" spans="2:9" ht="15.75" x14ac:dyDescent="0.3">
      <c r="B5" s="71">
        <f>B4+1</f>
        <v>2</v>
      </c>
      <c r="C5" s="72" t="s">
        <v>47</v>
      </c>
      <c r="D5" s="73" t="s">
        <v>4</v>
      </c>
      <c r="E5" s="74">
        <v>0</v>
      </c>
      <c r="F5" s="71" t="s">
        <v>48</v>
      </c>
      <c r="G5" s="74">
        <v>0</v>
      </c>
      <c r="H5" s="74">
        <v>0</v>
      </c>
      <c r="I5" s="74">
        <v>0</v>
      </c>
    </row>
    <row r="6" spans="2:9" ht="15.75" x14ac:dyDescent="0.3">
      <c r="B6" s="71">
        <f t="shared" ref="B6:B12" si="0">B5+1</f>
        <v>3</v>
      </c>
      <c r="C6" s="72" t="s">
        <v>49</v>
      </c>
      <c r="D6" s="73" t="s">
        <v>4</v>
      </c>
      <c r="E6" s="74">
        <v>0.2</v>
      </c>
      <c r="F6" s="71" t="s">
        <v>48</v>
      </c>
      <c r="G6" s="74">
        <v>0.9</v>
      </c>
      <c r="H6" s="74">
        <v>0.5</v>
      </c>
      <c r="I6" s="74">
        <v>0</v>
      </c>
    </row>
    <row r="7" spans="2:9" ht="15.75" x14ac:dyDescent="0.3">
      <c r="B7" s="71">
        <f t="shared" si="0"/>
        <v>4</v>
      </c>
      <c r="C7" s="72" t="s">
        <v>50</v>
      </c>
      <c r="D7" s="73" t="s">
        <v>4</v>
      </c>
      <c r="E7" s="74">
        <v>0.2</v>
      </c>
      <c r="F7" s="71" t="s">
        <v>48</v>
      </c>
      <c r="G7" s="74">
        <v>0.8</v>
      </c>
      <c r="H7" s="74">
        <v>0.4</v>
      </c>
      <c r="I7" s="74">
        <v>0</v>
      </c>
    </row>
    <row r="8" spans="2:9" ht="15.75" x14ac:dyDescent="0.3">
      <c r="B8" s="71">
        <f t="shared" si="0"/>
        <v>5</v>
      </c>
      <c r="C8" s="72" t="s">
        <v>51</v>
      </c>
      <c r="D8" s="73" t="s">
        <v>4</v>
      </c>
      <c r="E8" s="74">
        <v>0.2</v>
      </c>
      <c r="F8" s="71" t="s">
        <v>48</v>
      </c>
      <c r="G8" s="74">
        <v>0.5</v>
      </c>
      <c r="H8" s="74">
        <v>0.25</v>
      </c>
      <c r="I8" s="74">
        <v>0</v>
      </c>
    </row>
    <row r="9" spans="2:9" ht="15.75" x14ac:dyDescent="0.3">
      <c r="B9" s="71">
        <f t="shared" si="0"/>
        <v>6</v>
      </c>
      <c r="C9" s="72" t="s">
        <v>52</v>
      </c>
      <c r="D9" s="73" t="s">
        <v>11</v>
      </c>
      <c r="E9" s="74">
        <v>0</v>
      </c>
      <c r="F9" s="71" t="s">
        <v>48</v>
      </c>
      <c r="G9" s="74">
        <v>0</v>
      </c>
      <c r="H9" s="74">
        <v>0</v>
      </c>
      <c r="I9" s="74">
        <v>0</v>
      </c>
    </row>
    <row r="10" spans="2:9" ht="15.75" x14ac:dyDescent="0.3">
      <c r="B10" s="71">
        <f t="shared" si="0"/>
        <v>7</v>
      </c>
      <c r="C10" s="72" t="s">
        <v>53</v>
      </c>
      <c r="D10" s="73" t="s">
        <v>11</v>
      </c>
      <c r="E10" s="74">
        <v>0.2</v>
      </c>
      <c r="F10" s="71" t="s">
        <v>48</v>
      </c>
      <c r="G10" s="74">
        <v>0.9</v>
      </c>
      <c r="H10" s="74">
        <v>0.5</v>
      </c>
      <c r="I10" s="74">
        <v>0.25</v>
      </c>
    </row>
    <row r="11" spans="2:9" ht="15.75" x14ac:dyDescent="0.3">
      <c r="B11" s="71">
        <f t="shared" si="0"/>
        <v>8</v>
      </c>
      <c r="C11" s="72" t="s">
        <v>54</v>
      </c>
      <c r="D11" s="73" t="s">
        <v>11</v>
      </c>
      <c r="E11" s="74">
        <v>0.2</v>
      </c>
      <c r="F11" s="71" t="s">
        <v>48</v>
      </c>
      <c r="G11" s="74">
        <v>0.8</v>
      </c>
      <c r="H11" s="74">
        <v>0.4</v>
      </c>
      <c r="I11" s="74">
        <v>0.25</v>
      </c>
    </row>
    <row r="12" spans="2:9" ht="15.75" x14ac:dyDescent="0.3">
      <c r="B12" s="71">
        <f t="shared" si="0"/>
        <v>9</v>
      </c>
      <c r="C12" s="72" t="s">
        <v>55</v>
      </c>
      <c r="D12" s="73" t="s">
        <v>11</v>
      </c>
      <c r="E12" s="74">
        <v>0.2</v>
      </c>
      <c r="F12" s="71" t="s">
        <v>48</v>
      </c>
      <c r="G12" s="74">
        <v>0.5</v>
      </c>
      <c r="H12" s="74">
        <v>0.25</v>
      </c>
      <c r="I12" s="74">
        <v>0.25</v>
      </c>
    </row>
    <row r="14" spans="2:9" x14ac:dyDescent="0.25">
      <c r="C14" s="28" t="s">
        <v>102</v>
      </c>
    </row>
    <row r="15" spans="2:9" x14ac:dyDescent="0.25">
      <c r="B15" s="25" t="s">
        <v>40</v>
      </c>
      <c r="C15" s="26" t="s">
        <v>41</v>
      </c>
      <c r="D15" s="25" t="s">
        <v>34</v>
      </c>
      <c r="E15" s="25" t="str">
        <f>E3</f>
        <v>% Sinal</v>
      </c>
      <c r="F15" s="25" t="s">
        <v>44</v>
      </c>
      <c r="G15" s="25" t="s">
        <v>1</v>
      </c>
      <c r="H15" s="25" t="s">
        <v>2</v>
      </c>
      <c r="I15" s="25" t="s">
        <v>29</v>
      </c>
    </row>
    <row r="16" spans="2:9" ht="15.75" x14ac:dyDescent="0.3">
      <c r="B16" s="71">
        <f>B12+1</f>
        <v>10</v>
      </c>
      <c r="C16" s="72" t="s">
        <v>56</v>
      </c>
      <c r="D16" s="75" t="s">
        <v>4</v>
      </c>
      <c r="E16" s="78">
        <f>E18</f>
        <v>7.4999999999999997E-2</v>
      </c>
      <c r="F16" s="71" t="s">
        <v>46</v>
      </c>
      <c r="G16" s="76">
        <v>0</v>
      </c>
      <c r="H16" s="76">
        <v>0</v>
      </c>
      <c r="I16" s="76">
        <v>0</v>
      </c>
    </row>
    <row r="17" spans="2:9" ht="15.75" x14ac:dyDescent="0.3">
      <c r="B17" s="71">
        <f>B16+1</f>
        <v>11</v>
      </c>
      <c r="C17" s="72" t="s">
        <v>47</v>
      </c>
      <c r="D17" s="75" t="s">
        <v>4</v>
      </c>
      <c r="E17" s="78">
        <v>0</v>
      </c>
      <c r="F17" s="71" t="s">
        <v>48</v>
      </c>
      <c r="G17" s="76">
        <v>0</v>
      </c>
      <c r="H17" s="76">
        <v>0</v>
      </c>
      <c r="I17" s="76">
        <v>0</v>
      </c>
    </row>
    <row r="18" spans="2:9" ht="15.75" x14ac:dyDescent="0.3">
      <c r="B18" s="71">
        <f t="shared" ref="B18:B22" si="1">B17+1</f>
        <v>12</v>
      </c>
      <c r="C18" s="72" t="s">
        <v>98</v>
      </c>
      <c r="D18" s="75" t="s">
        <v>4</v>
      </c>
      <c r="E18" s="78">
        <v>7.4999999999999997E-2</v>
      </c>
      <c r="F18" s="71" t="s">
        <v>46</v>
      </c>
      <c r="G18" s="76">
        <v>0.9</v>
      </c>
      <c r="H18" s="76">
        <v>0.5</v>
      </c>
      <c r="I18" s="76">
        <v>0</v>
      </c>
    </row>
    <row r="19" spans="2:9" ht="15.75" x14ac:dyDescent="0.3">
      <c r="B19" s="71">
        <f t="shared" si="1"/>
        <v>13</v>
      </c>
      <c r="C19" s="72" t="s">
        <v>99</v>
      </c>
      <c r="D19" s="75" t="s">
        <v>4</v>
      </c>
      <c r="E19" s="78">
        <v>7.4999999999999997E-2</v>
      </c>
      <c r="F19" s="71" t="s">
        <v>46</v>
      </c>
      <c r="G19" s="76">
        <v>0.8</v>
      </c>
      <c r="H19" s="76">
        <v>0.4</v>
      </c>
      <c r="I19" s="76">
        <v>0</v>
      </c>
    </row>
    <row r="20" spans="2:9" ht="15.75" x14ac:dyDescent="0.3">
      <c r="B20" s="71">
        <f t="shared" si="1"/>
        <v>14</v>
      </c>
      <c r="C20" s="72" t="s">
        <v>100</v>
      </c>
      <c r="D20" s="75" t="s">
        <v>4</v>
      </c>
      <c r="E20" s="78">
        <v>7.4999999999999997E-2</v>
      </c>
      <c r="F20" s="71" t="s">
        <v>46</v>
      </c>
      <c r="G20" s="76">
        <v>0.5</v>
      </c>
      <c r="H20" s="76">
        <v>0.25</v>
      </c>
      <c r="I20" s="76">
        <v>0</v>
      </c>
    </row>
    <row r="21" spans="2:9" ht="15.75" x14ac:dyDescent="0.3">
      <c r="B21" s="71">
        <f t="shared" si="1"/>
        <v>15</v>
      </c>
      <c r="C21" s="72" t="s">
        <v>52</v>
      </c>
      <c r="D21" s="75" t="s">
        <v>11</v>
      </c>
      <c r="E21" s="78">
        <v>0</v>
      </c>
      <c r="F21" s="71" t="s">
        <v>48</v>
      </c>
      <c r="G21" s="76">
        <v>0</v>
      </c>
      <c r="H21" s="76">
        <v>0</v>
      </c>
      <c r="I21" s="76">
        <v>0</v>
      </c>
    </row>
    <row r="22" spans="2:9" ht="15.75" x14ac:dyDescent="0.3">
      <c r="B22" s="71">
        <f t="shared" si="1"/>
        <v>16</v>
      </c>
      <c r="C22" s="72" t="s">
        <v>57</v>
      </c>
      <c r="D22" s="75" t="s">
        <v>11</v>
      </c>
      <c r="E22" s="78">
        <v>7.4999999999999997E-2</v>
      </c>
      <c r="F22" s="71" t="s">
        <v>48</v>
      </c>
      <c r="G22" s="76">
        <v>0.9</v>
      </c>
      <c r="H22" s="76">
        <v>0.5</v>
      </c>
      <c r="I22" s="76">
        <v>0.25</v>
      </c>
    </row>
    <row r="23" spans="2:9" ht="15.75" x14ac:dyDescent="0.3">
      <c r="B23" s="71">
        <f t="shared" ref="B23:B24" si="2">B22+1</f>
        <v>17</v>
      </c>
      <c r="C23" s="72" t="s">
        <v>58</v>
      </c>
      <c r="D23" s="75" t="s">
        <v>11</v>
      </c>
      <c r="E23" s="78">
        <v>7.4999999999999997E-2</v>
      </c>
      <c r="F23" s="71" t="s">
        <v>48</v>
      </c>
      <c r="G23" s="76">
        <v>0.8</v>
      </c>
      <c r="H23" s="76">
        <v>0.4</v>
      </c>
      <c r="I23" s="76">
        <v>0.25</v>
      </c>
    </row>
    <row r="24" spans="2:9" ht="15.75" x14ac:dyDescent="0.3">
      <c r="B24" s="71">
        <f t="shared" si="2"/>
        <v>18</v>
      </c>
      <c r="C24" s="72" t="s">
        <v>59</v>
      </c>
      <c r="D24" s="75" t="s">
        <v>11</v>
      </c>
      <c r="E24" s="78">
        <v>7.4999999999999997E-2</v>
      </c>
      <c r="F24" s="71" t="s">
        <v>48</v>
      </c>
      <c r="G24" s="76">
        <v>0.5</v>
      </c>
      <c r="H24" s="76">
        <v>0.25</v>
      </c>
      <c r="I24" s="76">
        <v>0.25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topLeftCell="A174" workbookViewId="0">
      <selection activeCell="A198" sqref="A198"/>
    </sheetView>
  </sheetViews>
  <sheetFormatPr defaultRowHeight="15" x14ac:dyDescent="0.25"/>
  <cols>
    <col min="1" max="1" width="5" customWidth="1"/>
    <col min="2" max="2" width="3" customWidth="1"/>
    <col min="3" max="3" width="17.5703125" customWidth="1"/>
    <col min="5" max="5" width="9.42578125" customWidth="1"/>
  </cols>
  <sheetData>
    <row r="1" spans="1:10" s="7" customFormat="1" x14ac:dyDescent="0.25"/>
    <row r="2" spans="1:10" s="7" customFormat="1" x14ac:dyDescent="0.25"/>
    <row r="3" spans="1:10" s="7" customFormat="1" x14ac:dyDescent="0.25">
      <c r="C3" s="23" t="s">
        <v>15</v>
      </c>
      <c r="D3" s="9"/>
      <c r="E3" s="9"/>
      <c r="F3" s="9"/>
      <c r="G3" s="9"/>
      <c r="H3" s="9"/>
      <c r="I3" s="9"/>
      <c r="J3" s="10"/>
    </row>
    <row r="4" spans="1:10" s="7" customFormat="1" x14ac:dyDescent="0.25">
      <c r="C4" s="11"/>
      <c r="D4" s="8" t="s">
        <v>16</v>
      </c>
      <c r="E4" s="9"/>
      <c r="F4" s="9"/>
      <c r="G4" s="9"/>
      <c r="H4" s="9"/>
      <c r="I4" s="9"/>
      <c r="J4" s="10"/>
    </row>
    <row r="5" spans="1:10" s="7" customFormat="1" ht="38.25" customHeight="1" x14ac:dyDescent="0.25">
      <c r="C5" s="12" t="s">
        <v>17</v>
      </c>
      <c r="D5" s="12" t="s">
        <v>18</v>
      </c>
      <c r="E5" s="12"/>
      <c r="F5" s="12" t="s">
        <v>19</v>
      </c>
      <c r="G5" s="12" t="s">
        <v>20</v>
      </c>
      <c r="H5" s="12" t="s">
        <v>21</v>
      </c>
      <c r="I5" s="12" t="s">
        <v>19</v>
      </c>
      <c r="J5" s="12" t="s">
        <v>22</v>
      </c>
    </row>
    <row r="6" spans="1:10" s="7" customFormat="1" x14ac:dyDescent="0.25">
      <c r="C6" s="13"/>
      <c r="D6" s="14" t="s">
        <v>23</v>
      </c>
      <c r="E6" s="14"/>
      <c r="F6" s="14" t="s">
        <v>24</v>
      </c>
      <c r="G6" s="14"/>
      <c r="H6" s="14"/>
      <c r="I6" s="14" t="s">
        <v>25</v>
      </c>
      <c r="J6" s="14" t="s">
        <v>25</v>
      </c>
    </row>
    <row r="7" spans="1:10" s="7" customFormat="1" ht="19.5" customHeight="1" x14ac:dyDescent="0.25">
      <c r="C7" s="14"/>
      <c r="D7" s="15" t="s">
        <v>26</v>
      </c>
      <c r="E7" s="16"/>
      <c r="F7" s="16"/>
      <c r="G7" s="16"/>
      <c r="H7" s="17"/>
      <c r="I7" s="15" t="s">
        <v>27</v>
      </c>
      <c r="J7" s="17"/>
    </row>
    <row r="8" spans="1:10" s="7" customFormat="1" x14ac:dyDescent="0.25">
      <c r="A8" s="7">
        <f>YEAR(C8)</f>
        <v>2002</v>
      </c>
      <c r="B8" s="7">
        <f>MONTH(C8)</f>
        <v>1</v>
      </c>
      <c r="C8" s="18">
        <v>37257</v>
      </c>
      <c r="D8" s="19">
        <v>1.4883999999999999</v>
      </c>
      <c r="E8" s="19">
        <f>SUM(D8:$D$292)</f>
        <v>196.13780000000014</v>
      </c>
      <c r="F8" s="19">
        <v>19</v>
      </c>
      <c r="G8" s="19">
        <v>1.49</v>
      </c>
      <c r="H8" s="19">
        <v>17.739999999999998</v>
      </c>
      <c r="I8" s="19">
        <v>19.05</v>
      </c>
      <c r="J8" s="20">
        <v>1.0006922</v>
      </c>
    </row>
    <row r="9" spans="1:10" s="7" customFormat="1" x14ac:dyDescent="0.25">
      <c r="A9" s="7">
        <f t="shared" ref="A9:A72" si="0">YEAR(C9)</f>
        <v>2002</v>
      </c>
      <c r="B9" s="7">
        <f t="shared" ref="B9:B72" si="1">MONTH(C9)</f>
        <v>2</v>
      </c>
      <c r="C9" s="18">
        <v>37288</v>
      </c>
      <c r="D9" s="19">
        <v>1.3387</v>
      </c>
      <c r="E9" s="19">
        <f>SUM(D9:$D$292)</f>
        <v>194.64940000000013</v>
      </c>
      <c r="F9" s="19">
        <v>18.93</v>
      </c>
      <c r="G9" s="19">
        <v>2.85</v>
      </c>
      <c r="H9" s="19">
        <v>18.03</v>
      </c>
      <c r="I9" s="19">
        <v>19.05</v>
      </c>
      <c r="J9" s="20">
        <v>1.0006922</v>
      </c>
    </row>
    <row r="10" spans="1:10" s="7" customFormat="1" x14ac:dyDescent="0.25">
      <c r="A10" s="7">
        <f t="shared" si="0"/>
        <v>2002</v>
      </c>
      <c r="B10" s="7">
        <f t="shared" si="1"/>
        <v>3</v>
      </c>
      <c r="C10" s="18">
        <v>37316</v>
      </c>
      <c r="D10" s="19">
        <v>1.4638</v>
      </c>
      <c r="E10" s="19">
        <f>SUM(D10:$D$292)</f>
        <v>193.31070000000014</v>
      </c>
      <c r="F10" s="19">
        <v>18.66</v>
      </c>
      <c r="G10" s="19">
        <v>4.3499999999999996</v>
      </c>
      <c r="H10" s="19">
        <v>18.309999999999999</v>
      </c>
      <c r="I10" s="19">
        <v>18.8</v>
      </c>
      <c r="J10" s="20">
        <v>1.0006838499999999</v>
      </c>
    </row>
    <row r="11" spans="1:10" s="7" customFormat="1" x14ac:dyDescent="0.25">
      <c r="A11" s="7">
        <f t="shared" si="0"/>
        <v>2002</v>
      </c>
      <c r="B11" s="7">
        <f t="shared" si="1"/>
        <v>4</v>
      </c>
      <c r="C11" s="18">
        <v>37347</v>
      </c>
      <c r="D11" s="19">
        <v>1.4049</v>
      </c>
      <c r="E11" s="19">
        <f>SUM(D11:$D$292)</f>
        <v>191.84690000000015</v>
      </c>
      <c r="F11" s="19">
        <v>18.5</v>
      </c>
      <c r="G11" s="19">
        <v>5.82</v>
      </c>
      <c r="H11" s="19">
        <v>18.52</v>
      </c>
      <c r="I11" s="19">
        <v>18.47</v>
      </c>
      <c r="J11" s="20">
        <v>1.0006728</v>
      </c>
    </row>
    <row r="12" spans="1:10" s="7" customFormat="1" x14ac:dyDescent="0.25">
      <c r="A12" s="7">
        <f t="shared" si="0"/>
        <v>2002</v>
      </c>
      <c r="B12" s="7">
        <f t="shared" si="1"/>
        <v>5</v>
      </c>
      <c r="C12" s="18">
        <v>37377</v>
      </c>
      <c r="D12" s="19">
        <v>1.4520999999999999</v>
      </c>
      <c r="E12" s="19">
        <f>SUM(D12:$D$292)</f>
        <v>190.44200000000012</v>
      </c>
      <c r="F12" s="19">
        <v>18.5</v>
      </c>
      <c r="G12" s="19">
        <v>7.36</v>
      </c>
      <c r="H12" s="19">
        <v>18.7</v>
      </c>
      <c r="I12" s="19">
        <v>18.37</v>
      </c>
      <c r="J12" s="20">
        <v>1.00066945</v>
      </c>
    </row>
    <row r="13" spans="1:10" s="7" customFormat="1" x14ac:dyDescent="0.25">
      <c r="A13" s="7">
        <f t="shared" si="0"/>
        <v>2002</v>
      </c>
      <c r="B13" s="7">
        <f t="shared" si="1"/>
        <v>6</v>
      </c>
      <c r="C13" s="18">
        <v>37408</v>
      </c>
      <c r="D13" s="19">
        <v>1.4049</v>
      </c>
      <c r="E13" s="19">
        <f>SUM(D13:$D$292)</f>
        <v>188.98990000000012</v>
      </c>
      <c r="F13" s="19">
        <v>18.5</v>
      </c>
      <c r="G13" s="19">
        <v>8.86</v>
      </c>
      <c r="H13" s="19">
        <v>18.8</v>
      </c>
      <c r="I13" s="19">
        <v>17.309999999999999</v>
      </c>
      <c r="J13" s="20">
        <v>1.0006337300000001</v>
      </c>
    </row>
    <row r="14" spans="1:10" s="7" customFormat="1" x14ac:dyDescent="0.25">
      <c r="A14" s="7">
        <f t="shared" si="0"/>
        <v>2002</v>
      </c>
      <c r="B14" s="7">
        <f t="shared" si="1"/>
        <v>7</v>
      </c>
      <c r="C14" s="18">
        <v>37438</v>
      </c>
      <c r="D14" s="19">
        <v>1.4356</v>
      </c>
      <c r="E14" s="19">
        <f>SUM(D14:$D$292)</f>
        <v>187.58500000000012</v>
      </c>
      <c r="F14" s="19">
        <v>18.27</v>
      </c>
      <c r="G14" s="19">
        <v>10.43</v>
      </c>
      <c r="H14" s="19">
        <v>18.78</v>
      </c>
      <c r="I14" s="19">
        <v>18.41</v>
      </c>
      <c r="J14" s="20">
        <v>1.00067079</v>
      </c>
    </row>
    <row r="15" spans="1:10" s="7" customFormat="1" x14ac:dyDescent="0.25">
      <c r="A15" s="7">
        <f t="shared" si="0"/>
        <v>2002</v>
      </c>
      <c r="B15" s="7">
        <f t="shared" si="1"/>
        <v>8</v>
      </c>
      <c r="C15" s="18">
        <v>37469</v>
      </c>
      <c r="D15" s="19">
        <v>1.4157</v>
      </c>
      <c r="E15" s="19">
        <f>SUM(D15:$D$292)</f>
        <v>186.1494000000001</v>
      </c>
      <c r="F15" s="19">
        <v>18</v>
      </c>
      <c r="G15" s="19">
        <v>11.99</v>
      </c>
      <c r="H15" s="19">
        <v>18.690000000000001</v>
      </c>
      <c r="I15" s="19">
        <v>17.829999999999998</v>
      </c>
      <c r="J15" s="20">
        <v>1.00065129</v>
      </c>
    </row>
    <row r="16" spans="1:10" s="7" customFormat="1" x14ac:dyDescent="0.25">
      <c r="A16" s="7">
        <f t="shared" si="0"/>
        <v>2002</v>
      </c>
      <c r="B16" s="7">
        <f t="shared" si="1"/>
        <v>9</v>
      </c>
      <c r="C16" s="18">
        <v>37500</v>
      </c>
      <c r="D16" s="19">
        <v>1.3696999999999999</v>
      </c>
      <c r="E16" s="19">
        <f>SUM(D16:$D$292)</f>
        <v>184.73370000000014</v>
      </c>
      <c r="F16" s="19">
        <v>18</v>
      </c>
      <c r="G16" s="19">
        <v>13.52</v>
      </c>
      <c r="H16" s="19">
        <v>18.61</v>
      </c>
      <c r="I16" s="19">
        <v>17.87</v>
      </c>
      <c r="J16" s="20">
        <v>1.00065264</v>
      </c>
    </row>
    <row r="17" spans="1:10" s="7" customFormat="1" x14ac:dyDescent="0.25">
      <c r="A17" s="7">
        <f t="shared" si="0"/>
        <v>2002</v>
      </c>
      <c r="B17" s="7">
        <f t="shared" si="1"/>
        <v>10</v>
      </c>
      <c r="C17" s="18">
        <v>37530</v>
      </c>
      <c r="D17" s="19">
        <v>1.5343</v>
      </c>
      <c r="E17" s="19">
        <f>SUM(D17:$D$292)</f>
        <v>183.36400000000015</v>
      </c>
      <c r="F17" s="19">
        <v>19.64</v>
      </c>
      <c r="G17" s="19">
        <v>15.27</v>
      </c>
      <c r="H17" s="19">
        <v>18.670000000000002</v>
      </c>
      <c r="I17" s="19">
        <v>17.899999999999999</v>
      </c>
      <c r="J17" s="20">
        <v>1.0006536500000001</v>
      </c>
    </row>
    <row r="18" spans="1:10" s="7" customFormat="1" x14ac:dyDescent="0.25">
      <c r="A18" s="7">
        <f t="shared" si="0"/>
        <v>2002</v>
      </c>
      <c r="B18" s="7">
        <f t="shared" si="1"/>
        <v>11</v>
      </c>
      <c r="C18" s="18">
        <v>37561</v>
      </c>
      <c r="D18" s="19" t="s">
        <v>28</v>
      </c>
      <c r="E18" s="19">
        <f>SUM(D18:$D$292)</f>
        <v>181.82970000000012</v>
      </c>
      <c r="F18" s="19">
        <v>21.33</v>
      </c>
      <c r="G18" s="19">
        <v>17.11</v>
      </c>
      <c r="H18" s="19">
        <v>18.850000000000001</v>
      </c>
      <c r="I18" s="19">
        <v>20.9</v>
      </c>
      <c r="J18" s="20">
        <v>1.0007534300000001</v>
      </c>
    </row>
    <row r="19" spans="1:10" s="7" customFormat="1" x14ac:dyDescent="0.25">
      <c r="A19" s="7">
        <f t="shared" si="0"/>
        <v>2002</v>
      </c>
      <c r="B19" s="7">
        <f t="shared" si="1"/>
        <v>12</v>
      </c>
      <c r="C19" s="18">
        <v>37591</v>
      </c>
      <c r="D19" s="19">
        <v>1.7911999999999999</v>
      </c>
      <c r="E19" s="19">
        <f>SUM(D19:$D$292)</f>
        <v>181.82970000000012</v>
      </c>
      <c r="F19" s="19">
        <v>23.25</v>
      </c>
      <c r="G19" s="19">
        <v>19.21</v>
      </c>
      <c r="H19" s="19">
        <v>19.21</v>
      </c>
      <c r="I19" s="19">
        <v>21.9</v>
      </c>
      <c r="J19" s="20">
        <v>1.0007861499999999</v>
      </c>
    </row>
    <row r="20" spans="1:10" s="7" customFormat="1" x14ac:dyDescent="0.25">
      <c r="A20" s="7">
        <f t="shared" si="0"/>
        <v>2003</v>
      </c>
      <c r="B20" s="7">
        <f t="shared" si="1"/>
        <v>1</v>
      </c>
      <c r="C20" s="18">
        <v>37622</v>
      </c>
      <c r="D20" s="19">
        <v>1.9233</v>
      </c>
      <c r="E20" s="19">
        <f>SUM(D20:$D$292)</f>
        <v>180.03850000000014</v>
      </c>
      <c r="F20" s="19">
        <v>25.14</v>
      </c>
      <c r="G20" s="19">
        <v>1.92</v>
      </c>
      <c r="H20" s="19">
        <v>19.72</v>
      </c>
      <c r="I20" s="19">
        <v>24.9</v>
      </c>
      <c r="J20" s="20">
        <v>1.0008827</v>
      </c>
    </row>
    <row r="21" spans="1:10" s="7" customFormat="1" x14ac:dyDescent="0.25">
      <c r="A21" s="7">
        <f t="shared" si="0"/>
        <v>2003</v>
      </c>
      <c r="B21" s="7">
        <f t="shared" si="1"/>
        <v>2</v>
      </c>
      <c r="C21" s="18">
        <v>37653</v>
      </c>
      <c r="D21" s="19">
        <v>1.7776000000000001</v>
      </c>
      <c r="E21" s="19">
        <f>SUM(D21:$D$292)</f>
        <v>178.1152000000001</v>
      </c>
      <c r="F21" s="19">
        <v>25.82</v>
      </c>
      <c r="G21" s="19">
        <v>3.74</v>
      </c>
      <c r="H21" s="19">
        <v>20.239999999999998</v>
      </c>
      <c r="I21" s="19">
        <v>25.38</v>
      </c>
      <c r="J21" s="20">
        <v>1.00089794</v>
      </c>
    </row>
    <row r="22" spans="1:10" x14ac:dyDescent="0.25">
      <c r="A22">
        <f t="shared" si="0"/>
        <v>2003</v>
      </c>
      <c r="B22">
        <f t="shared" si="1"/>
        <v>3</v>
      </c>
      <c r="C22" s="18">
        <v>37681</v>
      </c>
      <c r="D22" s="19">
        <v>2.0165999999999999</v>
      </c>
      <c r="E22" s="19">
        <f>SUM(D22:$D$292)</f>
        <v>176.33760000000009</v>
      </c>
      <c r="F22" s="19">
        <v>26.5</v>
      </c>
      <c r="G22" s="19">
        <v>5.83</v>
      </c>
      <c r="H22" s="19">
        <v>20.89</v>
      </c>
      <c r="I22" s="19">
        <v>26.29</v>
      </c>
      <c r="J22" s="20">
        <v>1.00092666</v>
      </c>
    </row>
    <row r="23" spans="1:10" x14ac:dyDescent="0.25">
      <c r="A23">
        <f t="shared" si="0"/>
        <v>2003</v>
      </c>
      <c r="B23">
        <f t="shared" si="1"/>
        <v>4</v>
      </c>
      <c r="C23" s="18">
        <v>37712</v>
      </c>
      <c r="D23" s="19">
        <v>1.9509000000000001</v>
      </c>
      <c r="E23" s="19">
        <f>SUM(D23:$D$292)</f>
        <v>174.32100000000008</v>
      </c>
      <c r="F23" s="19">
        <v>26.5</v>
      </c>
      <c r="G23" s="19">
        <v>7.89</v>
      </c>
      <c r="H23" s="19">
        <v>21.54</v>
      </c>
      <c r="I23" s="19">
        <v>26.32</v>
      </c>
      <c r="J23" s="20">
        <v>1.00092761</v>
      </c>
    </row>
    <row r="24" spans="1:10" x14ac:dyDescent="0.25">
      <c r="A24">
        <f t="shared" si="0"/>
        <v>2003</v>
      </c>
      <c r="B24">
        <f t="shared" si="1"/>
        <v>5</v>
      </c>
      <c r="C24" s="18">
        <v>37742</v>
      </c>
      <c r="D24" s="19">
        <v>2.0165999999999999</v>
      </c>
      <c r="E24" s="19">
        <f>SUM(D24:$D$292)</f>
        <v>172.37010000000009</v>
      </c>
      <c r="F24" s="19">
        <v>26.5</v>
      </c>
      <c r="G24" s="19">
        <v>10.07</v>
      </c>
      <c r="H24" s="19">
        <v>22.22</v>
      </c>
      <c r="I24" s="19">
        <v>26.32</v>
      </c>
      <c r="J24" s="20">
        <v>1.00092761</v>
      </c>
    </row>
    <row r="25" spans="1:10" x14ac:dyDescent="0.25">
      <c r="A25">
        <f t="shared" si="0"/>
        <v>2003</v>
      </c>
      <c r="B25">
        <f t="shared" si="1"/>
        <v>6</v>
      </c>
      <c r="C25" s="18">
        <v>37773</v>
      </c>
      <c r="D25" s="19">
        <v>1.9376</v>
      </c>
      <c r="E25" s="19">
        <f>SUM(D25:$D$292)</f>
        <v>170.35350000000011</v>
      </c>
      <c r="F25" s="19">
        <v>26.3</v>
      </c>
      <c r="G25" s="19">
        <v>12.2</v>
      </c>
      <c r="H25" s="19">
        <v>22.86</v>
      </c>
      <c r="I25" s="19">
        <v>26.26</v>
      </c>
      <c r="J25" s="20">
        <v>1.0009257199999999</v>
      </c>
    </row>
    <row r="26" spans="1:10" x14ac:dyDescent="0.25">
      <c r="A26">
        <f t="shared" si="0"/>
        <v>2003</v>
      </c>
      <c r="B26">
        <f t="shared" si="1"/>
        <v>7</v>
      </c>
      <c r="C26" s="18">
        <v>37803</v>
      </c>
      <c r="D26" s="19">
        <v>1.9555</v>
      </c>
      <c r="E26" s="19">
        <f>SUM(D26:$D$292)</f>
        <v>168.41590000000011</v>
      </c>
      <c r="F26" s="19">
        <v>25.61</v>
      </c>
      <c r="G26" s="19">
        <v>14.39</v>
      </c>
      <c r="H26" s="19">
        <v>23.49</v>
      </c>
      <c r="I26" s="19">
        <v>25.76</v>
      </c>
      <c r="J26" s="20">
        <v>1.00090996</v>
      </c>
    </row>
    <row r="27" spans="1:10" x14ac:dyDescent="0.25">
      <c r="A27">
        <f t="shared" si="0"/>
        <v>2003</v>
      </c>
      <c r="B27">
        <f t="shared" si="1"/>
        <v>8</v>
      </c>
      <c r="C27" s="18">
        <v>37834</v>
      </c>
      <c r="D27" s="19">
        <v>1.8163</v>
      </c>
      <c r="E27" s="19">
        <f>SUM(D27:$D$292)</f>
        <v>166.46040000000011</v>
      </c>
      <c r="F27" s="19">
        <v>23.61</v>
      </c>
      <c r="G27" s="19">
        <v>16.47</v>
      </c>
      <c r="H27" s="19">
        <v>23.98</v>
      </c>
      <c r="I27" s="19">
        <v>24.33</v>
      </c>
      <c r="J27" s="20">
        <v>1.00086454</v>
      </c>
    </row>
    <row r="28" spans="1:10" x14ac:dyDescent="0.25">
      <c r="A28">
        <f t="shared" si="0"/>
        <v>2003</v>
      </c>
      <c r="B28">
        <f t="shared" si="1"/>
        <v>9</v>
      </c>
      <c r="C28" s="18">
        <v>37865</v>
      </c>
      <c r="D28" s="19">
        <v>1.5880000000000001</v>
      </c>
      <c r="E28" s="19">
        <f>SUM(D28:$D$292)</f>
        <v>164.64410000000012</v>
      </c>
      <c r="F28" s="19">
        <v>21.13</v>
      </c>
      <c r="G28" s="19">
        <v>18.32</v>
      </c>
      <c r="H28" s="19">
        <v>24.25</v>
      </c>
      <c r="I28" s="19">
        <v>21.83</v>
      </c>
      <c r="J28" s="20">
        <v>1.0007838600000001</v>
      </c>
    </row>
    <row r="29" spans="1:10" x14ac:dyDescent="0.25">
      <c r="A29">
        <f t="shared" si="0"/>
        <v>2003</v>
      </c>
      <c r="B29">
        <f t="shared" si="1"/>
        <v>10</v>
      </c>
      <c r="C29" s="18">
        <v>37895</v>
      </c>
      <c r="D29" s="19">
        <v>1.5396000000000001</v>
      </c>
      <c r="E29" s="19">
        <f>SUM(D29:$D$292)</f>
        <v>163.0561000000001</v>
      </c>
      <c r="F29" s="19">
        <v>19.71</v>
      </c>
      <c r="G29" s="19">
        <v>20.14</v>
      </c>
      <c r="H29" s="19">
        <v>24.25</v>
      </c>
      <c r="I29" s="19">
        <v>19.829999999999998</v>
      </c>
      <c r="J29" s="20">
        <v>1.0007181300000001</v>
      </c>
    </row>
    <row r="30" spans="1:10" x14ac:dyDescent="0.25">
      <c r="A30">
        <f t="shared" si="0"/>
        <v>2003</v>
      </c>
      <c r="B30">
        <f t="shared" si="1"/>
        <v>11</v>
      </c>
      <c r="C30" s="18">
        <v>37926</v>
      </c>
      <c r="D30" s="19">
        <v>1.4013</v>
      </c>
      <c r="E30" s="19">
        <f>SUM(D30:$D$292)</f>
        <v>161.51650000000012</v>
      </c>
      <c r="F30" s="19">
        <v>18.45</v>
      </c>
      <c r="G30" s="19">
        <v>21.83</v>
      </c>
      <c r="H30" s="19">
        <v>24.01</v>
      </c>
      <c r="I30" s="19">
        <v>18.850000000000001</v>
      </c>
      <c r="J30" s="20">
        <v>1.00068552</v>
      </c>
    </row>
    <row r="31" spans="1:10" x14ac:dyDescent="0.25">
      <c r="A31">
        <f t="shared" si="0"/>
        <v>2003</v>
      </c>
      <c r="B31">
        <f t="shared" si="1"/>
        <v>12</v>
      </c>
      <c r="C31" s="18">
        <v>37956</v>
      </c>
      <c r="D31" s="19">
        <v>1.3459000000000001</v>
      </c>
      <c r="E31" s="19">
        <f>SUM(D31:$D$292)</f>
        <v>160.1152000000001</v>
      </c>
      <c r="F31" s="19">
        <v>17.05</v>
      </c>
      <c r="G31" s="19">
        <v>23.47</v>
      </c>
      <c r="H31" s="19">
        <v>23.47</v>
      </c>
      <c r="I31" s="19">
        <v>17.309999999999999</v>
      </c>
      <c r="J31" s="20">
        <v>1.0006337300000001</v>
      </c>
    </row>
    <row r="32" spans="1:10" x14ac:dyDescent="0.25">
      <c r="A32">
        <f t="shared" si="0"/>
        <v>2004</v>
      </c>
      <c r="B32">
        <f t="shared" si="1"/>
        <v>1</v>
      </c>
      <c r="C32" s="18">
        <v>37987</v>
      </c>
      <c r="D32" s="19">
        <v>1.3044</v>
      </c>
      <c r="E32" s="19">
        <f>SUM(D32:$D$292)</f>
        <v>158.7693000000001</v>
      </c>
      <c r="F32" s="19">
        <v>16.53</v>
      </c>
      <c r="G32" s="19">
        <v>1.3</v>
      </c>
      <c r="H32" s="19">
        <v>22.72</v>
      </c>
      <c r="I32" s="19">
        <v>16.34</v>
      </c>
      <c r="J32" s="20">
        <v>1.00060076</v>
      </c>
    </row>
    <row r="33" spans="1:10" x14ac:dyDescent="0.25">
      <c r="A33">
        <f t="shared" si="0"/>
        <v>2004</v>
      </c>
      <c r="B33">
        <f t="shared" si="1"/>
        <v>2</v>
      </c>
      <c r="C33" s="18">
        <v>38018</v>
      </c>
      <c r="D33" s="19">
        <v>1.2174</v>
      </c>
      <c r="E33" s="19">
        <f>SUM(D33:$D$292)</f>
        <v>157.46490000000011</v>
      </c>
      <c r="F33" s="19">
        <v>15.36</v>
      </c>
      <c r="G33" s="19">
        <v>2.54</v>
      </c>
      <c r="H33" s="19">
        <v>22.04</v>
      </c>
      <c r="I33" s="19">
        <v>16.29</v>
      </c>
      <c r="J33" s="20">
        <v>1.0005990600000001</v>
      </c>
    </row>
    <row r="34" spans="1:10" x14ac:dyDescent="0.25">
      <c r="A34">
        <f t="shared" si="0"/>
        <v>2004</v>
      </c>
      <c r="B34">
        <f t="shared" si="1"/>
        <v>3</v>
      </c>
      <c r="C34" s="18">
        <v>38047</v>
      </c>
      <c r="D34" s="19">
        <v>1.2936000000000001</v>
      </c>
      <c r="E34" s="19">
        <f>SUM(D34:$D$292)</f>
        <v>156.24750000000012</v>
      </c>
      <c r="F34" s="19">
        <v>16.39</v>
      </c>
      <c r="G34" s="19">
        <v>3.89</v>
      </c>
      <c r="H34" s="19">
        <v>21.18</v>
      </c>
      <c r="I34" s="19">
        <v>16.29</v>
      </c>
      <c r="J34" s="20">
        <v>1.0005990600000001</v>
      </c>
    </row>
    <row r="35" spans="1:10" x14ac:dyDescent="0.25">
      <c r="A35">
        <f t="shared" si="0"/>
        <v>2004</v>
      </c>
      <c r="B35">
        <f t="shared" si="1"/>
        <v>4</v>
      </c>
      <c r="C35" s="18">
        <v>38078</v>
      </c>
      <c r="D35" s="19">
        <v>1.2323</v>
      </c>
      <c r="E35" s="19">
        <f>SUM(D35:$D$292)</f>
        <v>154.95390000000012</v>
      </c>
      <c r="F35" s="19">
        <v>15.56</v>
      </c>
      <c r="G35" s="19">
        <v>5.14</v>
      </c>
      <c r="H35" s="19">
        <v>20.32</v>
      </c>
      <c r="I35" s="19">
        <v>16.100000000000001</v>
      </c>
      <c r="J35" s="20">
        <v>1.0005925600000001</v>
      </c>
    </row>
    <row r="36" spans="1:10" x14ac:dyDescent="0.25">
      <c r="A36">
        <f t="shared" si="0"/>
        <v>2004</v>
      </c>
      <c r="B36">
        <f t="shared" si="1"/>
        <v>5</v>
      </c>
      <c r="C36" s="18">
        <v>38108</v>
      </c>
      <c r="D36" s="19">
        <v>1.2649999999999999</v>
      </c>
      <c r="E36" s="19">
        <f>SUM(D36:$D$292)</f>
        <v>153.72160000000011</v>
      </c>
      <c r="F36" s="19">
        <v>16</v>
      </c>
      <c r="G36" s="19">
        <v>6.47</v>
      </c>
      <c r="H36" s="19">
        <v>19.440000000000001</v>
      </c>
      <c r="I36" s="19">
        <v>15.79</v>
      </c>
      <c r="J36" s="20">
        <v>1.0005819499999999</v>
      </c>
    </row>
    <row r="37" spans="1:10" x14ac:dyDescent="0.25">
      <c r="A37">
        <f t="shared" si="0"/>
        <v>2004</v>
      </c>
      <c r="B37">
        <f t="shared" si="1"/>
        <v>6</v>
      </c>
      <c r="C37" s="18">
        <v>38139</v>
      </c>
      <c r="D37" s="19">
        <v>1.224</v>
      </c>
      <c r="E37" s="19">
        <f>SUM(D37:$D$292)</f>
        <v>152.45660000000012</v>
      </c>
      <c r="F37" s="19">
        <v>16</v>
      </c>
      <c r="G37" s="19">
        <v>7.78</v>
      </c>
      <c r="H37" s="19">
        <v>18.600000000000001</v>
      </c>
      <c r="I37" s="19">
        <v>15.78</v>
      </c>
      <c r="J37" s="20">
        <v>1.0005816000000001</v>
      </c>
    </row>
    <row r="38" spans="1:10" x14ac:dyDescent="0.25">
      <c r="A38">
        <f t="shared" si="0"/>
        <v>2004</v>
      </c>
      <c r="B38">
        <f t="shared" si="1"/>
        <v>7</v>
      </c>
      <c r="C38" s="18">
        <v>38169</v>
      </c>
      <c r="D38" s="19">
        <v>1.2649999999999999</v>
      </c>
      <c r="E38" s="19">
        <f>SUM(D38:$D$292)</f>
        <v>151.23260000000013</v>
      </c>
      <c r="F38" s="19">
        <v>16</v>
      </c>
      <c r="G38" s="19">
        <v>9.14</v>
      </c>
      <c r="H38" s="19">
        <v>17.8</v>
      </c>
      <c r="I38" s="19">
        <v>15.8</v>
      </c>
      <c r="J38" s="20">
        <v>1.0005822900000001</v>
      </c>
    </row>
    <row r="39" spans="1:10" x14ac:dyDescent="0.25">
      <c r="A39">
        <f t="shared" si="0"/>
        <v>2004</v>
      </c>
      <c r="B39">
        <f t="shared" si="1"/>
        <v>8</v>
      </c>
      <c r="C39" s="18">
        <v>38200</v>
      </c>
      <c r="D39" s="19">
        <v>1.2649999999999999</v>
      </c>
      <c r="E39" s="19">
        <f>SUM(D39:$D$292)</f>
        <v>149.96760000000012</v>
      </c>
      <c r="F39" s="19">
        <v>16</v>
      </c>
      <c r="G39" s="19">
        <v>10.52</v>
      </c>
      <c r="H39" s="19">
        <v>17.16</v>
      </c>
      <c r="I39" s="19">
        <v>15.82</v>
      </c>
      <c r="J39" s="20">
        <v>1.0005829799999999</v>
      </c>
    </row>
    <row r="40" spans="1:10" x14ac:dyDescent="0.25">
      <c r="A40">
        <f t="shared" si="0"/>
        <v>2004</v>
      </c>
      <c r="B40">
        <f t="shared" si="1"/>
        <v>9</v>
      </c>
      <c r="C40" s="18">
        <v>38231</v>
      </c>
      <c r="D40" s="19">
        <v>1.2329000000000001</v>
      </c>
      <c r="E40" s="19">
        <f>SUM(D40:$D$292)</f>
        <v>148.70260000000013</v>
      </c>
      <c r="F40" s="19">
        <v>16.12</v>
      </c>
      <c r="G40" s="19">
        <v>11.88</v>
      </c>
      <c r="H40" s="19">
        <v>16.75</v>
      </c>
      <c r="I40" s="19">
        <v>15.92</v>
      </c>
      <c r="J40" s="20">
        <v>1.0005864</v>
      </c>
    </row>
    <row r="41" spans="1:10" x14ac:dyDescent="0.25">
      <c r="A41">
        <f t="shared" si="0"/>
        <v>2004</v>
      </c>
      <c r="B41">
        <f t="shared" si="1"/>
        <v>10</v>
      </c>
      <c r="C41" s="18">
        <v>38261</v>
      </c>
      <c r="D41" s="19">
        <v>1.2966</v>
      </c>
      <c r="E41" s="19">
        <f>SUM(D41:$D$292)</f>
        <v>147.4697000000001</v>
      </c>
      <c r="F41" s="19">
        <v>16.43</v>
      </c>
      <c r="G41" s="19">
        <v>13.33</v>
      </c>
      <c r="H41" s="19">
        <v>16.47</v>
      </c>
      <c r="I41" s="19">
        <v>16.23</v>
      </c>
      <c r="J41" s="20">
        <v>1.0005970099999999</v>
      </c>
    </row>
    <row r="42" spans="1:10" x14ac:dyDescent="0.25">
      <c r="A42">
        <f t="shared" si="0"/>
        <v>2004</v>
      </c>
      <c r="B42">
        <f t="shared" si="1"/>
        <v>11</v>
      </c>
      <c r="C42" s="18">
        <v>38292</v>
      </c>
      <c r="D42" s="19">
        <v>1.2927999999999999</v>
      </c>
      <c r="E42" s="19">
        <f>SUM(D42:$D$292)</f>
        <v>146.17310000000009</v>
      </c>
      <c r="F42" s="19">
        <v>16.97</v>
      </c>
      <c r="G42" s="19">
        <v>14.8</v>
      </c>
      <c r="H42" s="19">
        <v>16.350000000000001</v>
      </c>
      <c r="I42" s="19">
        <v>16.739999999999998</v>
      </c>
      <c r="J42" s="20">
        <v>1.00061439</v>
      </c>
    </row>
    <row r="43" spans="1:10" x14ac:dyDescent="0.25">
      <c r="A43">
        <f t="shared" si="0"/>
        <v>2004</v>
      </c>
      <c r="B43">
        <f t="shared" si="1"/>
        <v>12</v>
      </c>
      <c r="C43" s="18">
        <v>38322</v>
      </c>
      <c r="D43" s="19">
        <v>1.3758999999999999</v>
      </c>
      <c r="E43" s="19">
        <f>SUM(D43:$D$292)</f>
        <v>144.88030000000009</v>
      </c>
      <c r="F43" s="19">
        <v>17.510000000000002</v>
      </c>
      <c r="G43" s="19">
        <v>16.38</v>
      </c>
      <c r="H43" s="19">
        <v>16.38</v>
      </c>
      <c r="I43" s="19">
        <v>17.23</v>
      </c>
      <c r="J43" s="20">
        <v>1.0006310199999999</v>
      </c>
    </row>
    <row r="44" spans="1:10" x14ac:dyDescent="0.25">
      <c r="A44">
        <f t="shared" si="0"/>
        <v>2005</v>
      </c>
      <c r="B44">
        <f t="shared" si="1"/>
        <v>1</v>
      </c>
      <c r="C44" s="18">
        <v>38353</v>
      </c>
      <c r="D44" s="19">
        <v>1.4076</v>
      </c>
      <c r="E44" s="19">
        <f>SUM(D44:$D$292)</f>
        <v>143.50440000000006</v>
      </c>
      <c r="F44" s="19">
        <v>17.89</v>
      </c>
      <c r="G44" s="19">
        <v>1.41</v>
      </c>
      <c r="H44" s="19">
        <v>16.5</v>
      </c>
      <c r="I44" s="19">
        <v>17.739999999999998</v>
      </c>
      <c r="J44" s="20">
        <v>1.00064826</v>
      </c>
    </row>
    <row r="45" spans="1:10" x14ac:dyDescent="0.25">
      <c r="A45">
        <f t="shared" si="0"/>
        <v>2005</v>
      </c>
      <c r="B45">
        <f t="shared" si="1"/>
        <v>2</v>
      </c>
      <c r="C45" s="18">
        <v>38384</v>
      </c>
      <c r="D45" s="19">
        <v>1.3047</v>
      </c>
      <c r="E45" s="19">
        <f>SUM(D45:$D$292)</f>
        <v>142.09680000000006</v>
      </c>
      <c r="F45" s="19">
        <v>18.41</v>
      </c>
      <c r="G45" s="19">
        <v>2.73</v>
      </c>
      <c r="H45" s="19">
        <v>16.600000000000001</v>
      </c>
      <c r="I45" s="19">
        <v>18.239999999999998</v>
      </c>
      <c r="J45" s="20">
        <v>1.00066509</v>
      </c>
    </row>
    <row r="46" spans="1:10" x14ac:dyDescent="0.25">
      <c r="A46">
        <f t="shared" si="0"/>
        <v>2005</v>
      </c>
      <c r="B46">
        <f t="shared" si="1"/>
        <v>3</v>
      </c>
      <c r="C46" s="18">
        <v>38412</v>
      </c>
      <c r="D46" s="19">
        <v>1.4837</v>
      </c>
      <c r="E46" s="19">
        <f>SUM(D46:$D$292)</f>
        <v>140.79210000000003</v>
      </c>
      <c r="F46" s="19">
        <v>18.940000000000001</v>
      </c>
      <c r="G46" s="19">
        <v>4.25</v>
      </c>
      <c r="H46" s="19">
        <v>16.82</v>
      </c>
      <c r="I46" s="19">
        <v>18.739999999999998</v>
      </c>
      <c r="J46" s="20">
        <v>1.0006818399999999</v>
      </c>
    </row>
    <row r="47" spans="1:10" x14ac:dyDescent="0.25">
      <c r="A47">
        <f t="shared" si="0"/>
        <v>2005</v>
      </c>
      <c r="B47">
        <f t="shared" si="1"/>
        <v>4</v>
      </c>
      <c r="C47" s="18">
        <v>38443</v>
      </c>
      <c r="D47" s="19">
        <v>1.4633</v>
      </c>
      <c r="E47" s="19">
        <f>SUM(D47:$D$292)</f>
        <v>139.30840000000001</v>
      </c>
      <c r="F47" s="19">
        <v>19.329999999999998</v>
      </c>
      <c r="G47" s="19">
        <v>5.79</v>
      </c>
      <c r="H47" s="19">
        <v>17.09</v>
      </c>
      <c r="I47" s="19">
        <v>19.239999999999998</v>
      </c>
      <c r="J47" s="20">
        <v>1.00069853</v>
      </c>
    </row>
    <row r="48" spans="1:10" x14ac:dyDescent="0.25">
      <c r="A48">
        <f t="shared" si="0"/>
        <v>2005</v>
      </c>
      <c r="B48">
        <f t="shared" si="1"/>
        <v>5</v>
      </c>
      <c r="C48" s="18">
        <v>38473</v>
      </c>
      <c r="D48" s="19">
        <v>1.5321</v>
      </c>
      <c r="E48" s="19">
        <f>SUM(D48:$D$292)</f>
        <v>137.84509999999997</v>
      </c>
      <c r="F48" s="19">
        <v>19.600000000000001</v>
      </c>
      <c r="G48" s="19">
        <v>7.41</v>
      </c>
      <c r="H48" s="19">
        <v>17.399999999999999</v>
      </c>
      <c r="I48" s="19">
        <v>19.5</v>
      </c>
      <c r="J48" s="20">
        <v>1.00070718</v>
      </c>
    </row>
    <row r="49" spans="1:10" x14ac:dyDescent="0.25">
      <c r="A49">
        <f t="shared" si="0"/>
        <v>2005</v>
      </c>
      <c r="B49">
        <f t="shared" si="1"/>
        <v>6</v>
      </c>
      <c r="C49" s="18">
        <v>38504</v>
      </c>
      <c r="D49" s="19">
        <v>1.4923999999999999</v>
      </c>
      <c r="E49" s="19">
        <f>SUM(D49:$D$292)</f>
        <v>136.31299999999999</v>
      </c>
      <c r="F49" s="19">
        <v>19.75</v>
      </c>
      <c r="G49" s="19">
        <v>9.01</v>
      </c>
      <c r="H49" s="19">
        <v>17.71</v>
      </c>
      <c r="I49" s="19">
        <v>19.760000000000002</v>
      </c>
      <c r="J49" s="20">
        <v>1.00071581</v>
      </c>
    </row>
    <row r="50" spans="1:10" x14ac:dyDescent="0.25">
      <c r="A50">
        <f t="shared" si="0"/>
        <v>2005</v>
      </c>
      <c r="B50">
        <f t="shared" si="1"/>
        <v>7</v>
      </c>
      <c r="C50" s="18">
        <v>38534</v>
      </c>
      <c r="D50" s="19">
        <v>1.5425</v>
      </c>
      <c r="E50" s="19">
        <f>SUM(D50:$D$292)</f>
        <v>134.82059999999998</v>
      </c>
      <c r="F50" s="19">
        <v>19.75</v>
      </c>
      <c r="G50" s="19">
        <v>10.69</v>
      </c>
      <c r="H50" s="19">
        <v>18.03</v>
      </c>
      <c r="I50" s="19">
        <v>19.73</v>
      </c>
      <c r="J50" s="20">
        <v>1.0007148100000001</v>
      </c>
    </row>
    <row r="51" spans="1:10" x14ac:dyDescent="0.25">
      <c r="A51">
        <f t="shared" si="0"/>
        <v>2005</v>
      </c>
      <c r="B51">
        <f t="shared" si="1"/>
        <v>8</v>
      </c>
      <c r="C51" s="18">
        <v>38565</v>
      </c>
      <c r="D51" s="19">
        <v>1.5425</v>
      </c>
      <c r="E51" s="19">
        <f>SUM(D51:$D$292)</f>
        <v>133.27809999999999</v>
      </c>
      <c r="F51" s="19">
        <v>19.75</v>
      </c>
      <c r="G51" s="19">
        <v>12.4</v>
      </c>
      <c r="H51" s="19">
        <v>18.36</v>
      </c>
      <c r="I51" s="19">
        <v>19.739999999999998</v>
      </c>
      <c r="J51" s="20">
        <v>1.00071515</v>
      </c>
    </row>
    <row r="52" spans="1:10" x14ac:dyDescent="0.25">
      <c r="A52">
        <f t="shared" si="0"/>
        <v>2005</v>
      </c>
      <c r="B52">
        <f t="shared" si="1"/>
        <v>9</v>
      </c>
      <c r="C52" s="18">
        <v>38596</v>
      </c>
      <c r="D52" s="19">
        <v>1.4831000000000001</v>
      </c>
      <c r="E52" s="19">
        <f>SUM(D52:$D$292)</f>
        <v>131.73559999999998</v>
      </c>
      <c r="F52" s="19">
        <v>19.62</v>
      </c>
      <c r="G52" s="19">
        <v>14.07</v>
      </c>
      <c r="H52" s="19">
        <v>18.649999999999999</v>
      </c>
      <c r="I52" s="19">
        <v>19.739999999999998</v>
      </c>
      <c r="J52" s="20">
        <v>1.00071515</v>
      </c>
    </row>
    <row r="53" spans="1:10" x14ac:dyDescent="0.25">
      <c r="A53">
        <f t="shared" si="0"/>
        <v>2005</v>
      </c>
      <c r="B53">
        <f t="shared" si="1"/>
        <v>10</v>
      </c>
      <c r="C53" s="18">
        <v>38626</v>
      </c>
      <c r="D53" s="19">
        <v>1.5105</v>
      </c>
      <c r="E53" s="19">
        <f>SUM(D53:$D$292)</f>
        <v>130.25249999999997</v>
      </c>
      <c r="F53" s="19">
        <v>19.309999999999999</v>
      </c>
      <c r="G53" s="19">
        <v>15.79</v>
      </c>
      <c r="H53" s="19">
        <v>18.899999999999999</v>
      </c>
      <c r="I53" s="19">
        <v>19.48</v>
      </c>
      <c r="J53" s="20">
        <v>1.0007065100000001</v>
      </c>
    </row>
    <row r="54" spans="1:10" x14ac:dyDescent="0.25">
      <c r="A54">
        <f t="shared" si="0"/>
        <v>2005</v>
      </c>
      <c r="B54">
        <f t="shared" si="1"/>
        <v>11</v>
      </c>
      <c r="C54" s="18">
        <v>38657</v>
      </c>
      <c r="D54" s="19">
        <v>1.4318</v>
      </c>
      <c r="E54" s="19">
        <f>SUM(D54:$D$292)</f>
        <v>128.74199999999996</v>
      </c>
      <c r="F54" s="19">
        <v>18.88</v>
      </c>
      <c r="G54" s="19">
        <v>17.45</v>
      </c>
      <c r="H54" s="19">
        <v>19.07</v>
      </c>
      <c r="I54" s="19">
        <v>18.95</v>
      </c>
      <c r="J54" s="20">
        <v>1.0006888599999999</v>
      </c>
    </row>
    <row r="55" spans="1:10" x14ac:dyDescent="0.25">
      <c r="A55">
        <f t="shared" si="0"/>
        <v>2005</v>
      </c>
      <c r="B55">
        <f t="shared" si="1"/>
        <v>12</v>
      </c>
      <c r="C55" s="18">
        <v>38687</v>
      </c>
      <c r="D55" s="19">
        <v>1.4320999999999999</v>
      </c>
      <c r="E55" s="19">
        <f>SUM(D55:$D$292)</f>
        <v>127.31019999999998</v>
      </c>
      <c r="F55" s="19">
        <v>18.23</v>
      </c>
      <c r="G55" s="19">
        <v>19.13</v>
      </c>
      <c r="H55" s="19">
        <v>19.13</v>
      </c>
      <c r="I55" s="19">
        <v>18.52</v>
      </c>
      <c r="J55" s="20">
        <v>1.00067448</v>
      </c>
    </row>
    <row r="56" spans="1:10" x14ac:dyDescent="0.25">
      <c r="A56">
        <f t="shared" si="0"/>
        <v>2006</v>
      </c>
      <c r="B56">
        <f t="shared" si="1"/>
        <v>1</v>
      </c>
      <c r="C56" s="18">
        <v>38718</v>
      </c>
      <c r="D56" s="19">
        <v>1.3926000000000001</v>
      </c>
      <c r="E56" s="19">
        <f>SUM(D56:$D$292)</f>
        <v>125.87809999999998</v>
      </c>
      <c r="F56" s="19">
        <v>17.68</v>
      </c>
      <c r="G56" s="19">
        <v>1.39</v>
      </c>
      <c r="H56" s="19">
        <v>19.11</v>
      </c>
      <c r="I56" s="19">
        <v>17.98</v>
      </c>
      <c r="J56" s="20">
        <v>1.0006563500000001</v>
      </c>
    </row>
    <row r="57" spans="1:10" x14ac:dyDescent="0.25">
      <c r="A57">
        <f t="shared" si="0"/>
        <v>2006</v>
      </c>
      <c r="B57">
        <f t="shared" si="1"/>
        <v>2</v>
      </c>
      <c r="C57" s="18">
        <v>38749</v>
      </c>
      <c r="D57" s="19">
        <v>1.2282999999999999</v>
      </c>
      <c r="E57" s="19">
        <f>SUM(D57:$D$292)</f>
        <v>124.48549999999999</v>
      </c>
      <c r="F57" s="19">
        <v>17.25</v>
      </c>
      <c r="G57" s="19">
        <v>2.64</v>
      </c>
      <c r="H57" s="19">
        <v>19.02</v>
      </c>
      <c r="I57" s="19">
        <v>17.23</v>
      </c>
      <c r="J57" s="20">
        <v>1.0006310199999999</v>
      </c>
    </row>
    <row r="58" spans="1:10" x14ac:dyDescent="0.25">
      <c r="A58">
        <f t="shared" si="0"/>
        <v>2006</v>
      </c>
      <c r="B58">
        <f t="shared" si="1"/>
        <v>3</v>
      </c>
      <c r="C58" s="18">
        <v>38777</v>
      </c>
      <c r="D58" s="19">
        <v>1.3198000000000001</v>
      </c>
      <c r="E58" s="19">
        <f>SUM(D58:$D$292)</f>
        <v>123.25719999999998</v>
      </c>
      <c r="F58" s="19">
        <v>16.690000000000001</v>
      </c>
      <c r="G58" s="19">
        <v>3.99</v>
      </c>
      <c r="H58" s="19">
        <v>18.82</v>
      </c>
      <c r="I58" s="19">
        <v>17.29</v>
      </c>
      <c r="J58" s="20">
        <v>1.00063305</v>
      </c>
    </row>
    <row r="59" spans="1:10" x14ac:dyDescent="0.25">
      <c r="A59">
        <f t="shared" si="0"/>
        <v>2006</v>
      </c>
      <c r="B59">
        <f t="shared" si="1"/>
        <v>4</v>
      </c>
      <c r="C59" s="18">
        <v>38808</v>
      </c>
      <c r="D59" s="19">
        <v>1.2434000000000001</v>
      </c>
      <c r="E59" s="19">
        <f>SUM(D59:$D$292)</f>
        <v>121.93739999999998</v>
      </c>
      <c r="F59" s="19">
        <v>16.22</v>
      </c>
      <c r="G59" s="19">
        <v>5.29</v>
      </c>
      <c r="H59" s="19">
        <v>18.57</v>
      </c>
      <c r="I59" s="19">
        <v>16.45</v>
      </c>
      <c r="J59" s="20">
        <v>1.00060452</v>
      </c>
    </row>
    <row r="60" spans="1:10" x14ac:dyDescent="0.25">
      <c r="A60">
        <f t="shared" si="0"/>
        <v>2006</v>
      </c>
      <c r="B60">
        <f t="shared" si="1"/>
        <v>5</v>
      </c>
      <c r="C60" s="18">
        <v>38838</v>
      </c>
      <c r="D60" s="19">
        <v>1.25</v>
      </c>
      <c r="E60" s="19">
        <f>SUM(D60:$D$292)</f>
        <v>120.69399999999997</v>
      </c>
      <c r="F60" s="19">
        <v>15.75</v>
      </c>
      <c r="G60" s="19">
        <v>6.6</v>
      </c>
      <c r="H60" s="19">
        <v>18.239999999999998</v>
      </c>
      <c r="I60" s="19">
        <v>15.69</v>
      </c>
      <c r="J60" s="20">
        <v>1.0005785199999999</v>
      </c>
    </row>
    <row r="61" spans="1:10" x14ac:dyDescent="0.25">
      <c r="A61">
        <f t="shared" si="0"/>
        <v>2006</v>
      </c>
      <c r="B61">
        <f t="shared" si="1"/>
        <v>6</v>
      </c>
      <c r="C61" s="18">
        <v>38869</v>
      </c>
      <c r="D61" s="19">
        <v>1.0117</v>
      </c>
      <c r="E61" s="19">
        <f>SUM(D61:$D$292)</f>
        <v>119.44399999999997</v>
      </c>
      <c r="F61" s="19">
        <v>13.03</v>
      </c>
      <c r="G61" s="19">
        <v>7.68</v>
      </c>
      <c r="H61" s="19">
        <v>17.68</v>
      </c>
      <c r="I61" s="19">
        <v>15.17</v>
      </c>
      <c r="J61" s="20">
        <v>1.0005606300000001</v>
      </c>
    </row>
    <row r="62" spans="1:10" x14ac:dyDescent="0.25">
      <c r="A62">
        <f t="shared" si="0"/>
        <v>2006</v>
      </c>
      <c r="B62">
        <f t="shared" si="1"/>
        <v>7</v>
      </c>
      <c r="C62" s="18">
        <v>38899</v>
      </c>
      <c r="D62" s="19">
        <v>1.012</v>
      </c>
      <c r="E62" s="19">
        <f>SUM(D62:$D$292)</f>
        <v>118.4323</v>
      </c>
      <c r="F62" s="19">
        <v>12.59</v>
      </c>
      <c r="G62" s="19">
        <v>8.77</v>
      </c>
      <c r="H62" s="19">
        <v>17.059999999999999</v>
      </c>
      <c r="I62" s="19">
        <v>15.17</v>
      </c>
      <c r="J62" s="20">
        <v>1.0005606300000001</v>
      </c>
    </row>
    <row r="63" spans="1:10" x14ac:dyDescent="0.25">
      <c r="A63">
        <f t="shared" si="0"/>
        <v>2006</v>
      </c>
      <c r="B63">
        <f t="shared" si="1"/>
        <v>8</v>
      </c>
      <c r="C63" s="18">
        <v>38930</v>
      </c>
      <c r="D63" s="19">
        <v>1.1741999999999999</v>
      </c>
      <c r="E63" s="19">
        <f>SUM(D63:$D$292)</f>
        <v>117.42029999999998</v>
      </c>
      <c r="F63" s="19">
        <v>14.73</v>
      </c>
      <c r="G63" s="19">
        <v>10.050000000000001</v>
      </c>
      <c r="H63" s="19">
        <v>16.64</v>
      </c>
      <c r="I63" s="19">
        <v>14.66</v>
      </c>
      <c r="J63" s="20">
        <v>1.0005430099999999</v>
      </c>
    </row>
    <row r="64" spans="1:10" x14ac:dyDescent="0.25">
      <c r="A64">
        <f t="shared" si="0"/>
        <v>2006</v>
      </c>
      <c r="B64">
        <f t="shared" si="1"/>
        <v>9</v>
      </c>
      <c r="C64" s="18">
        <v>38961</v>
      </c>
      <c r="D64" s="19">
        <v>1.101</v>
      </c>
      <c r="E64" s="19">
        <f>SUM(D64:$D$292)</f>
        <v>116.24609999999998</v>
      </c>
      <c r="F64" s="19">
        <v>14.25</v>
      </c>
      <c r="G64" s="19">
        <v>11.26</v>
      </c>
      <c r="H64" s="19">
        <v>16.2</v>
      </c>
      <c r="I64" s="19">
        <v>14.17</v>
      </c>
      <c r="J64" s="20">
        <v>1.000526</v>
      </c>
    </row>
    <row r="65" spans="1:10" x14ac:dyDescent="0.25">
      <c r="A65">
        <f t="shared" si="0"/>
        <v>2006</v>
      </c>
      <c r="B65">
        <f t="shared" si="1"/>
        <v>10</v>
      </c>
      <c r="C65" s="18">
        <v>38991</v>
      </c>
      <c r="D65" s="19">
        <v>1.1221000000000001</v>
      </c>
      <c r="E65" s="19">
        <f>SUM(D65:$D$292)</f>
        <v>115.14509999999997</v>
      </c>
      <c r="F65" s="19">
        <v>14.04</v>
      </c>
      <c r="G65" s="19">
        <v>12.51</v>
      </c>
      <c r="H65" s="19">
        <v>15.75</v>
      </c>
      <c r="I65" s="19">
        <v>14.16</v>
      </c>
      <c r="J65" s="20">
        <v>1.0005256600000001</v>
      </c>
    </row>
    <row r="66" spans="1:10" x14ac:dyDescent="0.25">
      <c r="A66">
        <f t="shared" si="0"/>
        <v>2006</v>
      </c>
      <c r="B66">
        <f t="shared" si="1"/>
        <v>11</v>
      </c>
      <c r="C66" s="18">
        <v>39022</v>
      </c>
      <c r="D66" s="19">
        <v>1.0632999999999999</v>
      </c>
      <c r="E66" s="19">
        <f>SUM(D66:$D$292)</f>
        <v>114.02299999999998</v>
      </c>
      <c r="F66" s="19">
        <v>13.73</v>
      </c>
      <c r="G66" s="19">
        <v>13.7</v>
      </c>
      <c r="H66" s="19">
        <v>15.33</v>
      </c>
      <c r="I66" s="19">
        <v>13.68</v>
      </c>
      <c r="J66" s="20">
        <v>1.0005089300000001</v>
      </c>
    </row>
    <row r="67" spans="1:10" x14ac:dyDescent="0.25">
      <c r="A67">
        <f t="shared" si="0"/>
        <v>2006</v>
      </c>
      <c r="B67">
        <f t="shared" si="1"/>
        <v>12</v>
      </c>
      <c r="C67" s="18">
        <v>39052</v>
      </c>
      <c r="D67" s="19">
        <v>1.0624</v>
      </c>
      <c r="E67" s="19">
        <f>SUM(D67:$D$292)</f>
        <v>112.95969999999998</v>
      </c>
      <c r="F67" s="19">
        <v>13.25</v>
      </c>
      <c r="G67" s="19">
        <v>14.91</v>
      </c>
      <c r="H67" s="19">
        <v>14.91</v>
      </c>
      <c r="I67" s="19">
        <v>13.18</v>
      </c>
      <c r="J67" s="20">
        <v>1.0004914300000001</v>
      </c>
    </row>
    <row r="68" spans="1:10" x14ac:dyDescent="0.25">
      <c r="A68">
        <f t="shared" si="0"/>
        <v>2007</v>
      </c>
      <c r="B68">
        <f t="shared" si="1"/>
        <v>1</v>
      </c>
      <c r="C68" s="18">
        <v>39083</v>
      </c>
      <c r="D68" s="19">
        <v>1.0581</v>
      </c>
      <c r="E68" s="19">
        <f>SUM(D68:$D$292)</f>
        <v>111.89729999999999</v>
      </c>
      <c r="F68" s="19">
        <v>13.19</v>
      </c>
      <c r="G68" s="19">
        <v>1.06</v>
      </c>
      <c r="H68" s="19">
        <v>14.53</v>
      </c>
      <c r="I68" s="19">
        <v>13.19</v>
      </c>
      <c r="J68" s="20">
        <v>1.0004917799999999</v>
      </c>
    </row>
    <row r="69" spans="1:10" x14ac:dyDescent="0.25">
      <c r="A69">
        <f t="shared" si="0"/>
        <v>2007</v>
      </c>
      <c r="B69">
        <f t="shared" si="1"/>
        <v>2</v>
      </c>
      <c r="C69" s="18">
        <v>39114</v>
      </c>
      <c r="D69" s="19">
        <v>0.94199999999999995</v>
      </c>
      <c r="E69" s="19">
        <f>SUM(D69:$D$292)</f>
        <v>110.83919999999998</v>
      </c>
      <c r="F69" s="19">
        <v>13</v>
      </c>
      <c r="G69" s="19">
        <v>2.0099999999999998</v>
      </c>
      <c r="H69" s="19">
        <v>14.21</v>
      </c>
      <c r="I69" s="19">
        <v>13.18</v>
      </c>
      <c r="J69" s="20">
        <v>1.0004914300000001</v>
      </c>
    </row>
    <row r="70" spans="1:10" x14ac:dyDescent="0.25">
      <c r="A70">
        <f t="shared" si="0"/>
        <v>2007</v>
      </c>
      <c r="B70">
        <f t="shared" si="1"/>
        <v>3</v>
      </c>
      <c r="C70" s="18">
        <v>39142</v>
      </c>
      <c r="D70" s="19">
        <v>1.0286999999999999</v>
      </c>
      <c r="E70" s="19">
        <f>SUM(D70:$D$292)</f>
        <v>109.89719999999997</v>
      </c>
      <c r="F70" s="19">
        <v>12.81</v>
      </c>
      <c r="G70" s="19">
        <v>3.06</v>
      </c>
      <c r="H70" s="19">
        <v>13.88</v>
      </c>
      <c r="I70" s="19">
        <v>12.93</v>
      </c>
      <c r="J70" s="20">
        <v>1.0004826499999999</v>
      </c>
    </row>
    <row r="71" spans="1:10" x14ac:dyDescent="0.25">
      <c r="A71">
        <f t="shared" si="0"/>
        <v>2007</v>
      </c>
      <c r="B71">
        <f t="shared" si="1"/>
        <v>4</v>
      </c>
      <c r="C71" s="18">
        <v>39173</v>
      </c>
      <c r="D71" s="19">
        <v>0.98380000000000001</v>
      </c>
      <c r="E71" s="19">
        <f>SUM(D71:$D$292)</f>
        <v>108.86849999999997</v>
      </c>
      <c r="F71" s="19">
        <v>12.65</v>
      </c>
      <c r="G71" s="19">
        <v>4.07</v>
      </c>
      <c r="H71" s="19">
        <v>13.59</v>
      </c>
      <c r="I71" s="19">
        <v>12.68</v>
      </c>
      <c r="J71" s="20">
        <v>1.0004738500000001</v>
      </c>
    </row>
    <row r="72" spans="1:10" x14ac:dyDescent="0.25">
      <c r="A72">
        <f t="shared" si="0"/>
        <v>2007</v>
      </c>
      <c r="B72">
        <f t="shared" si="1"/>
        <v>5</v>
      </c>
      <c r="C72" s="18">
        <v>39203</v>
      </c>
      <c r="D72" s="19">
        <v>1.0054000000000001</v>
      </c>
      <c r="E72" s="19">
        <f>SUM(D72:$D$292)</f>
        <v>107.88469999999997</v>
      </c>
      <c r="F72" s="19">
        <v>12.5</v>
      </c>
      <c r="G72" s="19">
        <v>5.12</v>
      </c>
      <c r="H72" s="19">
        <v>13.31</v>
      </c>
      <c r="I72" s="19">
        <v>12.43</v>
      </c>
      <c r="J72" s="20">
        <v>1.00046503</v>
      </c>
    </row>
    <row r="73" spans="1:10" x14ac:dyDescent="0.25">
      <c r="A73">
        <f t="shared" ref="A73:A136" si="2">YEAR(C73)</f>
        <v>2007</v>
      </c>
      <c r="B73">
        <f t="shared" ref="B73:B136" si="3">MONTH(C73)</f>
        <v>6</v>
      </c>
      <c r="C73" s="18">
        <v>39234</v>
      </c>
      <c r="D73" s="19">
        <v>0.94320000000000004</v>
      </c>
      <c r="E73" s="19">
        <f>SUM(D73:$D$292)</f>
        <v>106.87929999999996</v>
      </c>
      <c r="F73" s="19">
        <v>12.1</v>
      </c>
      <c r="G73" s="19">
        <v>6.11</v>
      </c>
      <c r="H73" s="19">
        <v>13.24</v>
      </c>
      <c r="I73" s="19">
        <v>12.43</v>
      </c>
      <c r="J73" s="20">
        <v>1.00046503</v>
      </c>
    </row>
    <row r="74" spans="1:10" x14ac:dyDescent="0.25">
      <c r="A74">
        <f t="shared" si="2"/>
        <v>2007</v>
      </c>
      <c r="B74">
        <f t="shared" si="3"/>
        <v>7</v>
      </c>
      <c r="C74" s="18">
        <v>39264</v>
      </c>
      <c r="D74" s="19">
        <v>0.95109999999999995</v>
      </c>
      <c r="E74" s="19">
        <f>SUM(D74:$D$292)</f>
        <v>105.93609999999997</v>
      </c>
      <c r="F74" s="19">
        <v>11.79</v>
      </c>
      <c r="G74" s="19">
        <v>7.12</v>
      </c>
      <c r="H74" s="19">
        <v>13.17</v>
      </c>
      <c r="I74" s="19">
        <v>11.93</v>
      </c>
      <c r="J74" s="20">
        <v>1.00044734</v>
      </c>
    </row>
    <row r="75" spans="1:10" x14ac:dyDescent="0.25">
      <c r="A75">
        <f t="shared" si="2"/>
        <v>2007</v>
      </c>
      <c r="B75">
        <f t="shared" si="3"/>
        <v>8</v>
      </c>
      <c r="C75" s="18">
        <v>39295</v>
      </c>
      <c r="D75" s="19">
        <v>0.92879999999999996</v>
      </c>
      <c r="E75" s="19">
        <f>SUM(D75:$D$292)</f>
        <v>104.98499999999996</v>
      </c>
      <c r="F75" s="19">
        <v>11.5</v>
      </c>
      <c r="G75" s="19">
        <v>8.1199999999999992</v>
      </c>
      <c r="H75" s="19">
        <v>12.89</v>
      </c>
      <c r="I75" s="19">
        <v>11.43</v>
      </c>
      <c r="J75" s="20">
        <v>1.0004295599999999</v>
      </c>
    </row>
    <row r="76" spans="1:10" x14ac:dyDescent="0.25">
      <c r="A76">
        <f t="shared" si="2"/>
        <v>2007</v>
      </c>
      <c r="B76">
        <f t="shared" si="3"/>
        <v>9</v>
      </c>
      <c r="C76" s="18">
        <v>39326</v>
      </c>
      <c r="D76" s="19">
        <v>0.88319999999999999</v>
      </c>
      <c r="E76" s="19">
        <f>SUM(D76:$D$292)</f>
        <v>104.05619999999995</v>
      </c>
      <c r="F76" s="19">
        <v>11.29</v>
      </c>
      <c r="G76" s="19">
        <v>9.07</v>
      </c>
      <c r="H76" s="19">
        <v>12.65</v>
      </c>
      <c r="I76" s="19">
        <v>11.43</v>
      </c>
      <c r="J76" s="20">
        <v>1.0004295599999999</v>
      </c>
    </row>
    <row r="77" spans="1:10" x14ac:dyDescent="0.25">
      <c r="A77">
        <f t="shared" si="2"/>
        <v>2007</v>
      </c>
      <c r="B77">
        <f t="shared" si="3"/>
        <v>10</v>
      </c>
      <c r="C77" s="18">
        <v>39356</v>
      </c>
      <c r="D77" s="19">
        <v>0.90959999999999996</v>
      </c>
      <c r="E77" s="19">
        <f>SUM(D77:$D$292)</f>
        <v>103.17299999999996</v>
      </c>
      <c r="F77" s="19">
        <v>11.25</v>
      </c>
      <c r="G77" s="19">
        <v>10.06</v>
      </c>
      <c r="H77" s="19">
        <v>12.41</v>
      </c>
      <c r="I77" s="19">
        <v>11.18</v>
      </c>
      <c r="J77" s="20">
        <v>1.0004206499999999</v>
      </c>
    </row>
    <row r="78" spans="1:10" x14ac:dyDescent="0.25">
      <c r="A78">
        <f t="shared" si="2"/>
        <v>2007</v>
      </c>
      <c r="B78">
        <f t="shared" si="3"/>
        <v>11</v>
      </c>
      <c r="C78" s="18">
        <v>39387</v>
      </c>
      <c r="D78" s="19">
        <v>0.88009999999999999</v>
      </c>
      <c r="E78" s="19">
        <f>SUM(D78:$D$292)</f>
        <v>102.26339999999995</v>
      </c>
      <c r="F78" s="19">
        <v>11.25</v>
      </c>
      <c r="G78" s="19">
        <v>11.03</v>
      </c>
      <c r="H78" s="19">
        <v>12.21</v>
      </c>
      <c r="I78" s="19">
        <v>11.18</v>
      </c>
      <c r="J78" s="20">
        <v>1.0004206499999999</v>
      </c>
    </row>
    <row r="79" spans="1:10" x14ac:dyDescent="0.25">
      <c r="A79">
        <f t="shared" si="2"/>
        <v>2007</v>
      </c>
      <c r="B79">
        <f t="shared" si="3"/>
        <v>12</v>
      </c>
      <c r="C79" s="18">
        <v>39417</v>
      </c>
      <c r="D79" s="19">
        <v>0.90959999999999996</v>
      </c>
      <c r="E79" s="19">
        <f>SUM(D79:$D$292)</f>
        <v>101.38329999999995</v>
      </c>
      <c r="F79" s="19">
        <v>11.25</v>
      </c>
      <c r="G79" s="19">
        <v>12.04</v>
      </c>
      <c r="H79" s="19">
        <v>12.04</v>
      </c>
      <c r="I79" s="19">
        <v>11.18</v>
      </c>
      <c r="J79" s="20">
        <v>1.0004206499999999</v>
      </c>
    </row>
    <row r="80" spans="1:10" x14ac:dyDescent="0.25">
      <c r="A80">
        <f t="shared" si="2"/>
        <v>2008</v>
      </c>
      <c r="B80">
        <f t="shared" si="3"/>
        <v>1</v>
      </c>
      <c r="C80" s="18">
        <v>39448</v>
      </c>
      <c r="D80" s="19">
        <v>0.90710000000000002</v>
      </c>
      <c r="E80" s="19">
        <f>SUM(D80:$D$292)</f>
        <v>100.47369999999995</v>
      </c>
      <c r="F80" s="19">
        <v>11.25</v>
      </c>
      <c r="G80" s="19">
        <v>0.91</v>
      </c>
      <c r="H80" s="19">
        <v>11.87</v>
      </c>
      <c r="I80" s="19">
        <v>11.18</v>
      </c>
      <c r="J80" s="20">
        <v>1.0004206499999999</v>
      </c>
    </row>
    <row r="81" spans="1:10" x14ac:dyDescent="0.25">
      <c r="A81">
        <f t="shared" si="2"/>
        <v>2008</v>
      </c>
      <c r="B81">
        <f t="shared" si="3"/>
        <v>2</v>
      </c>
      <c r="C81" s="18">
        <v>39479</v>
      </c>
      <c r="D81" s="19">
        <v>0.84830000000000005</v>
      </c>
      <c r="E81" s="19">
        <f>SUM(D81:$D$292)</f>
        <v>99.566599999999966</v>
      </c>
      <c r="F81" s="19">
        <v>11.25</v>
      </c>
      <c r="G81" s="19">
        <v>1.76</v>
      </c>
      <c r="H81" s="19">
        <v>11.77</v>
      </c>
      <c r="I81" s="19">
        <v>11.18</v>
      </c>
      <c r="J81" s="20">
        <v>1.0004206499999999</v>
      </c>
    </row>
    <row r="82" spans="1:10" x14ac:dyDescent="0.25">
      <c r="A82">
        <f t="shared" si="2"/>
        <v>2008</v>
      </c>
      <c r="B82">
        <f t="shared" si="3"/>
        <v>3</v>
      </c>
      <c r="C82" s="18">
        <v>39508</v>
      </c>
      <c r="D82" s="19">
        <v>0.90710000000000002</v>
      </c>
      <c r="E82" s="19">
        <f>SUM(D82:$D$292)</f>
        <v>98.718299999999957</v>
      </c>
      <c r="F82" s="19">
        <v>11.25</v>
      </c>
      <c r="G82" s="19">
        <v>2.69</v>
      </c>
      <c r="H82" s="19">
        <v>11.63</v>
      </c>
      <c r="I82" s="19">
        <v>11.18</v>
      </c>
      <c r="J82" s="20">
        <v>1.0004206499999999</v>
      </c>
    </row>
    <row r="83" spans="1:10" x14ac:dyDescent="0.25">
      <c r="A83">
        <f t="shared" si="2"/>
        <v>2008</v>
      </c>
      <c r="B83">
        <f t="shared" si="3"/>
        <v>4</v>
      </c>
      <c r="C83" s="18">
        <v>39539</v>
      </c>
      <c r="D83" s="19">
        <v>0.89500000000000002</v>
      </c>
      <c r="E83" s="19">
        <f>SUM(D83:$D$292)</f>
        <v>97.811199999999971</v>
      </c>
      <c r="F83" s="19">
        <v>11.48</v>
      </c>
      <c r="G83" s="19">
        <v>3.61</v>
      </c>
      <c r="H83" s="19">
        <v>11.54</v>
      </c>
      <c r="I83" s="19">
        <v>11.18</v>
      </c>
      <c r="J83" s="20">
        <v>1.0004206499999999</v>
      </c>
    </row>
    <row r="84" spans="1:10" x14ac:dyDescent="0.25">
      <c r="A84">
        <f t="shared" si="2"/>
        <v>2008</v>
      </c>
      <c r="B84">
        <f t="shared" si="3"/>
        <v>5</v>
      </c>
      <c r="C84" s="18">
        <v>39569</v>
      </c>
      <c r="D84" s="19">
        <v>0.94540000000000002</v>
      </c>
      <c r="E84" s="19">
        <f>SUM(D84:$D$292)</f>
        <v>96.916199999999989</v>
      </c>
      <c r="F84" s="19">
        <v>11.75</v>
      </c>
      <c r="G84" s="19">
        <v>4.58</v>
      </c>
      <c r="H84" s="19">
        <v>11.47</v>
      </c>
      <c r="I84" s="19">
        <v>11.61</v>
      </c>
      <c r="J84" s="20">
        <v>1.0004359700000001</v>
      </c>
    </row>
    <row r="85" spans="1:10" x14ac:dyDescent="0.25">
      <c r="A85">
        <f t="shared" si="2"/>
        <v>2008</v>
      </c>
      <c r="B85">
        <f t="shared" si="3"/>
        <v>6</v>
      </c>
      <c r="C85" s="18">
        <v>39600</v>
      </c>
      <c r="D85" s="19">
        <v>0.94679999999999997</v>
      </c>
      <c r="E85" s="19">
        <f>SUM(D85:$D$292)</f>
        <v>95.970799999999983</v>
      </c>
      <c r="F85" s="19">
        <v>12.18</v>
      </c>
      <c r="G85" s="19">
        <v>5.57</v>
      </c>
      <c r="H85" s="19">
        <v>11.47</v>
      </c>
      <c r="I85" s="19">
        <v>11.64</v>
      </c>
      <c r="J85" s="20">
        <v>1.00043704</v>
      </c>
    </row>
    <row r="86" spans="1:10" x14ac:dyDescent="0.25">
      <c r="A86">
        <f t="shared" si="2"/>
        <v>2008</v>
      </c>
      <c r="B86">
        <f t="shared" si="3"/>
        <v>7</v>
      </c>
      <c r="C86" s="18">
        <v>39630</v>
      </c>
      <c r="D86" s="19">
        <v>0.99829999999999997</v>
      </c>
      <c r="E86" s="19">
        <f>SUM(D86:$D$292)</f>
        <v>95.023999999999972</v>
      </c>
      <c r="F86" s="19">
        <v>12.44</v>
      </c>
      <c r="G86" s="19">
        <v>6.63</v>
      </c>
      <c r="H86" s="19">
        <v>11.53</v>
      </c>
      <c r="I86" s="19">
        <v>12.17</v>
      </c>
      <c r="J86" s="20">
        <v>1.0004558400000001</v>
      </c>
    </row>
    <row r="87" spans="1:10" x14ac:dyDescent="0.25">
      <c r="A87">
        <f t="shared" si="2"/>
        <v>2008</v>
      </c>
      <c r="B87">
        <f t="shared" si="3"/>
        <v>8</v>
      </c>
      <c r="C87" s="18">
        <v>39661</v>
      </c>
      <c r="D87" s="19">
        <v>1.0406</v>
      </c>
      <c r="E87" s="19">
        <f>SUM(D87:$D$292)</f>
        <v>94.025699999999972</v>
      </c>
      <c r="F87" s="19">
        <v>13</v>
      </c>
      <c r="G87" s="19">
        <v>7.74</v>
      </c>
      <c r="H87" s="19">
        <v>11.65</v>
      </c>
      <c r="I87" s="19">
        <v>12.92</v>
      </c>
      <c r="J87" s="20">
        <v>1.0004823</v>
      </c>
    </row>
    <row r="88" spans="1:10" x14ac:dyDescent="0.25">
      <c r="A88">
        <f t="shared" si="2"/>
        <v>2008</v>
      </c>
      <c r="B88">
        <f t="shared" si="3"/>
        <v>9</v>
      </c>
      <c r="C88" s="18">
        <v>39692</v>
      </c>
      <c r="D88" s="19">
        <v>1.0432999999999999</v>
      </c>
      <c r="E88" s="19">
        <f>SUM(D88:$D$292)</f>
        <v>92.985099999999974</v>
      </c>
      <c r="F88" s="19">
        <v>13.5</v>
      </c>
      <c r="G88" s="19">
        <v>8.86</v>
      </c>
      <c r="H88" s="19">
        <v>11.83</v>
      </c>
      <c r="I88" s="19">
        <v>12.91</v>
      </c>
      <c r="J88" s="20">
        <v>1.00048194</v>
      </c>
    </row>
    <row r="89" spans="1:10" x14ac:dyDescent="0.25">
      <c r="A89">
        <f t="shared" si="2"/>
        <v>2008</v>
      </c>
      <c r="B89">
        <f t="shared" si="3"/>
        <v>10</v>
      </c>
      <c r="C89" s="18">
        <v>39722</v>
      </c>
      <c r="D89" s="19">
        <v>1.0972</v>
      </c>
      <c r="E89" s="19">
        <f>SUM(D89:$D$292)</f>
        <v>91.941799999999986</v>
      </c>
      <c r="F89" s="19">
        <v>13.75</v>
      </c>
      <c r="G89" s="19">
        <v>10.06</v>
      </c>
      <c r="H89" s="19">
        <v>12.04</v>
      </c>
      <c r="I89" s="19">
        <v>13.66</v>
      </c>
      <c r="J89" s="20">
        <v>1.0005082300000001</v>
      </c>
    </row>
    <row r="90" spans="1:10" x14ac:dyDescent="0.25">
      <c r="A90">
        <f t="shared" si="2"/>
        <v>2008</v>
      </c>
      <c r="B90">
        <f t="shared" si="3"/>
        <v>11</v>
      </c>
      <c r="C90" s="18">
        <v>39753</v>
      </c>
      <c r="D90" s="19">
        <v>1.0616000000000001</v>
      </c>
      <c r="E90" s="19">
        <f>SUM(D90:$D$292)</f>
        <v>90.844599999999986</v>
      </c>
      <c r="F90" s="19">
        <v>13.75</v>
      </c>
      <c r="G90" s="19">
        <v>11.23</v>
      </c>
      <c r="H90" s="19">
        <v>12.24</v>
      </c>
      <c r="I90" s="19">
        <v>13.65</v>
      </c>
      <c r="J90" s="20">
        <v>1.00050788</v>
      </c>
    </row>
    <row r="91" spans="1:10" x14ac:dyDescent="0.25">
      <c r="A91">
        <f t="shared" si="2"/>
        <v>2008</v>
      </c>
      <c r="B91">
        <f t="shared" si="3"/>
        <v>12</v>
      </c>
      <c r="C91" s="18">
        <v>39783</v>
      </c>
      <c r="D91" s="19">
        <v>1.0972</v>
      </c>
      <c r="E91" s="19">
        <f>SUM(D91:$D$292)</f>
        <v>89.782999999999987</v>
      </c>
      <c r="F91" s="19">
        <v>13.75</v>
      </c>
      <c r="G91" s="19">
        <v>12.45</v>
      </c>
      <c r="H91" s="19">
        <v>12.45</v>
      </c>
      <c r="I91" s="19">
        <v>13.65</v>
      </c>
      <c r="J91" s="20">
        <v>1.00050788</v>
      </c>
    </row>
    <row r="92" spans="1:10" x14ac:dyDescent="0.25">
      <c r="A92">
        <f t="shared" si="2"/>
        <v>2009</v>
      </c>
      <c r="B92">
        <f t="shared" si="3"/>
        <v>1</v>
      </c>
      <c r="C92" s="18">
        <v>39814</v>
      </c>
      <c r="D92" s="19">
        <v>1.0758000000000001</v>
      </c>
      <c r="E92" s="19">
        <f>SUM(D92:$D$292)</f>
        <v>88.685799999999986</v>
      </c>
      <c r="F92" s="19">
        <v>13.43</v>
      </c>
      <c r="G92" s="19">
        <v>1.08</v>
      </c>
      <c r="H92" s="19">
        <v>12.63</v>
      </c>
      <c r="I92" s="19">
        <v>13.67</v>
      </c>
      <c r="J92" s="20">
        <v>1.00050858</v>
      </c>
    </row>
    <row r="93" spans="1:10" x14ac:dyDescent="0.25">
      <c r="A93">
        <f t="shared" si="2"/>
        <v>2009</v>
      </c>
      <c r="B93">
        <f t="shared" si="3"/>
        <v>2</v>
      </c>
      <c r="C93" s="18">
        <v>39845</v>
      </c>
      <c r="D93" s="19">
        <v>0.92479999999999996</v>
      </c>
      <c r="E93" s="19">
        <f>SUM(D93:$D$292)</f>
        <v>87.609999999999985</v>
      </c>
      <c r="F93" s="19">
        <v>12.75</v>
      </c>
      <c r="G93" s="19">
        <v>2.0099999999999998</v>
      </c>
      <c r="H93" s="19">
        <v>12.75</v>
      </c>
      <c r="I93" s="19">
        <v>12.66</v>
      </c>
      <c r="J93" s="20">
        <v>1.00047314</v>
      </c>
    </row>
    <row r="94" spans="1:10" x14ac:dyDescent="0.25">
      <c r="A94">
        <f t="shared" si="2"/>
        <v>2009</v>
      </c>
      <c r="B94">
        <f t="shared" si="3"/>
        <v>3</v>
      </c>
      <c r="C94" s="18">
        <v>39873</v>
      </c>
      <c r="D94" s="19">
        <v>0.95030000000000003</v>
      </c>
      <c r="E94" s="19">
        <f>SUM(D94:$D$292)</f>
        <v>86.68519999999998</v>
      </c>
      <c r="F94" s="19">
        <v>11.78</v>
      </c>
      <c r="G94" s="19">
        <v>2.98</v>
      </c>
      <c r="H94" s="19">
        <v>12.77</v>
      </c>
      <c r="I94" s="19">
        <v>12.66</v>
      </c>
      <c r="J94" s="20">
        <v>1.00047314</v>
      </c>
    </row>
    <row r="95" spans="1:10" x14ac:dyDescent="0.25">
      <c r="A95">
        <f t="shared" si="2"/>
        <v>2009</v>
      </c>
      <c r="B95">
        <f t="shared" si="3"/>
        <v>4</v>
      </c>
      <c r="C95" s="18">
        <v>39904</v>
      </c>
      <c r="D95" s="19">
        <v>0.87760000000000005</v>
      </c>
      <c r="E95" s="19">
        <f>SUM(D95:$D$292)</f>
        <v>85.734899999999982</v>
      </c>
      <c r="F95" s="19">
        <v>10.84</v>
      </c>
      <c r="G95" s="19">
        <v>3.88</v>
      </c>
      <c r="H95" s="19">
        <v>12.75</v>
      </c>
      <c r="I95" s="19">
        <v>11.16</v>
      </c>
      <c r="J95" s="20">
        <v>1.0004199300000001</v>
      </c>
    </row>
    <row r="96" spans="1:10" x14ac:dyDescent="0.25">
      <c r="A96">
        <f t="shared" si="2"/>
        <v>2009</v>
      </c>
      <c r="B96">
        <f t="shared" si="3"/>
        <v>5</v>
      </c>
      <c r="C96" s="18">
        <v>39934</v>
      </c>
      <c r="D96" s="19">
        <v>0.83220000000000005</v>
      </c>
      <c r="E96" s="19">
        <f>SUM(D96:$D$292)</f>
        <v>84.857299999999981</v>
      </c>
      <c r="F96" s="19">
        <v>10.25</v>
      </c>
      <c r="G96" s="19">
        <v>4.75</v>
      </c>
      <c r="H96" s="19">
        <v>12.62</v>
      </c>
      <c r="I96" s="19">
        <v>10.16</v>
      </c>
      <c r="J96" s="20">
        <v>1.00038406</v>
      </c>
    </row>
    <row r="97" spans="1:10" x14ac:dyDescent="0.25">
      <c r="A97">
        <f t="shared" si="2"/>
        <v>2009</v>
      </c>
      <c r="B97">
        <f t="shared" si="3"/>
        <v>6</v>
      </c>
      <c r="C97" s="18">
        <v>39965</v>
      </c>
      <c r="D97" s="19">
        <v>0.75490000000000002</v>
      </c>
      <c r="E97" s="19">
        <f>SUM(D97:$D$292)</f>
        <v>84.025099999999981</v>
      </c>
      <c r="F97" s="19">
        <v>9.26</v>
      </c>
      <c r="G97" s="19">
        <v>5.54</v>
      </c>
      <c r="H97" s="19">
        <v>12.41</v>
      </c>
      <c r="I97" s="19">
        <v>10.16</v>
      </c>
      <c r="J97" s="20">
        <v>1.00038406</v>
      </c>
    </row>
    <row r="98" spans="1:10" x14ac:dyDescent="0.25">
      <c r="A98">
        <f t="shared" si="2"/>
        <v>2009</v>
      </c>
      <c r="B98">
        <f t="shared" si="3"/>
        <v>7</v>
      </c>
      <c r="C98" s="18">
        <v>39995</v>
      </c>
      <c r="D98" s="19">
        <v>0.74280000000000002</v>
      </c>
      <c r="E98" s="19">
        <f>SUM(D98:$D$292)</f>
        <v>83.270199999999988</v>
      </c>
      <c r="F98" s="19">
        <v>9.1</v>
      </c>
      <c r="G98" s="19">
        <v>6.32</v>
      </c>
      <c r="H98" s="19">
        <v>12.12</v>
      </c>
      <c r="I98" s="19">
        <v>9.16</v>
      </c>
      <c r="J98" s="20">
        <v>1.00034786</v>
      </c>
    </row>
    <row r="99" spans="1:10" x14ac:dyDescent="0.25">
      <c r="A99">
        <f t="shared" si="2"/>
        <v>2009</v>
      </c>
      <c r="B99">
        <f t="shared" si="3"/>
        <v>8</v>
      </c>
      <c r="C99" s="18">
        <v>40026</v>
      </c>
      <c r="D99" s="19">
        <v>0.71499999999999997</v>
      </c>
      <c r="E99" s="19">
        <f>SUM(D99:$D$292)</f>
        <v>82.527399999999972</v>
      </c>
      <c r="F99" s="19">
        <v>8.75</v>
      </c>
      <c r="G99" s="19">
        <v>7.08</v>
      </c>
      <c r="H99" s="19">
        <v>11.76</v>
      </c>
      <c r="I99" s="19">
        <v>9.16</v>
      </c>
      <c r="J99" s="20">
        <v>1.00034786</v>
      </c>
    </row>
    <row r="100" spans="1:10" x14ac:dyDescent="0.25">
      <c r="A100">
        <f t="shared" si="2"/>
        <v>2009</v>
      </c>
      <c r="B100">
        <f t="shared" si="3"/>
        <v>9</v>
      </c>
      <c r="C100" s="18">
        <v>40057</v>
      </c>
      <c r="D100" s="19">
        <v>0.69179999999999997</v>
      </c>
      <c r="E100" s="19">
        <f>SUM(D100:$D$292)</f>
        <v>81.812399999999968</v>
      </c>
      <c r="F100" s="19">
        <v>8.75</v>
      </c>
      <c r="G100" s="19">
        <v>7.82</v>
      </c>
      <c r="H100" s="19">
        <v>11.37</v>
      </c>
      <c r="I100" s="19">
        <v>8.65</v>
      </c>
      <c r="J100" s="20">
        <v>1.0003292699999999</v>
      </c>
    </row>
    <row r="101" spans="1:10" x14ac:dyDescent="0.25">
      <c r="A101">
        <f t="shared" si="2"/>
        <v>2009</v>
      </c>
      <c r="B101">
        <f t="shared" si="3"/>
        <v>10</v>
      </c>
      <c r="C101" s="18">
        <v>40087</v>
      </c>
      <c r="D101" s="19">
        <v>0.71499999999999997</v>
      </c>
      <c r="E101" s="19">
        <f>SUM(D101:$D$292)</f>
        <v>81.120599999999982</v>
      </c>
      <c r="F101" s="19">
        <v>8.75</v>
      </c>
      <c r="G101" s="19">
        <v>8.59</v>
      </c>
      <c r="H101" s="19">
        <v>10.95</v>
      </c>
      <c r="I101" s="19">
        <v>8.65</v>
      </c>
      <c r="J101" s="20">
        <v>1.0003292699999999</v>
      </c>
    </row>
    <row r="102" spans="1:10" x14ac:dyDescent="0.25">
      <c r="A102">
        <f t="shared" si="2"/>
        <v>2009</v>
      </c>
      <c r="B102">
        <f t="shared" si="3"/>
        <v>11</v>
      </c>
      <c r="C102" s="18">
        <v>40118</v>
      </c>
      <c r="D102" s="19">
        <v>0.69179999999999997</v>
      </c>
      <c r="E102" s="19">
        <f>SUM(D102:$D$292)</f>
        <v>80.405599999999978</v>
      </c>
      <c r="F102" s="19">
        <v>8.75</v>
      </c>
      <c r="G102" s="19">
        <v>9.35</v>
      </c>
      <c r="H102" s="19">
        <v>10.55</v>
      </c>
      <c r="I102" s="19">
        <v>8.65</v>
      </c>
      <c r="J102" s="20">
        <v>1.0003292699999999</v>
      </c>
    </row>
    <row r="103" spans="1:10" x14ac:dyDescent="0.25">
      <c r="A103">
        <f t="shared" si="2"/>
        <v>2009</v>
      </c>
      <c r="B103">
        <f t="shared" si="3"/>
        <v>12</v>
      </c>
      <c r="C103" s="18">
        <v>40148</v>
      </c>
      <c r="D103" s="19">
        <v>0.71499999999999997</v>
      </c>
      <c r="E103" s="19">
        <f>SUM(D103:$D$292)</f>
        <v>79.713799999999978</v>
      </c>
      <c r="F103" s="19">
        <v>9.0500000000000007</v>
      </c>
      <c r="G103" s="19">
        <v>10.130000000000001</v>
      </c>
      <c r="H103" s="19">
        <v>10.130000000000001</v>
      </c>
      <c r="I103" s="19">
        <v>8.65</v>
      </c>
      <c r="J103" s="20">
        <v>1.0003292699999999</v>
      </c>
    </row>
    <row r="104" spans="1:10" x14ac:dyDescent="0.25">
      <c r="A104">
        <f t="shared" si="2"/>
        <v>2010</v>
      </c>
      <c r="B104">
        <f t="shared" si="3"/>
        <v>1</v>
      </c>
      <c r="C104" s="18">
        <v>40179</v>
      </c>
      <c r="D104" s="19">
        <v>0.71499999999999997</v>
      </c>
      <c r="E104" s="19">
        <f>SUM(D104:$D$292)</f>
        <v>78.998799999999989</v>
      </c>
      <c r="F104" s="19">
        <v>8.75</v>
      </c>
      <c r="G104" s="19">
        <v>0.71</v>
      </c>
      <c r="H104" s="19">
        <v>9.73</v>
      </c>
      <c r="I104" s="19">
        <v>8.65</v>
      </c>
      <c r="J104" s="20">
        <v>1.0003292699999999</v>
      </c>
    </row>
    <row r="105" spans="1:10" x14ac:dyDescent="0.25">
      <c r="A105">
        <f t="shared" si="2"/>
        <v>2010</v>
      </c>
      <c r="B105">
        <f t="shared" si="3"/>
        <v>2</v>
      </c>
      <c r="C105" s="18">
        <v>40210</v>
      </c>
      <c r="D105" s="19">
        <v>0.64549999999999996</v>
      </c>
      <c r="E105" s="19">
        <f>SUM(D105:$D$292)</f>
        <v>78.283799999999999</v>
      </c>
      <c r="F105" s="19">
        <v>8.75</v>
      </c>
      <c r="G105" s="19">
        <v>1.37</v>
      </c>
      <c r="H105" s="19">
        <v>9.43</v>
      </c>
      <c r="I105" s="19">
        <v>8.65</v>
      </c>
      <c r="J105" s="20">
        <v>1.0003292699999999</v>
      </c>
    </row>
    <row r="106" spans="1:10" x14ac:dyDescent="0.25">
      <c r="A106">
        <f t="shared" si="2"/>
        <v>2010</v>
      </c>
      <c r="B106">
        <f t="shared" si="3"/>
        <v>3</v>
      </c>
      <c r="C106" s="18">
        <v>40238</v>
      </c>
      <c r="D106" s="19">
        <v>0.71499999999999997</v>
      </c>
      <c r="E106" s="19">
        <f>SUM(D106:$D$292)</f>
        <v>77.638299999999987</v>
      </c>
      <c r="F106" s="19">
        <v>8.75</v>
      </c>
      <c r="G106" s="19">
        <v>2.09</v>
      </c>
      <c r="H106" s="19">
        <v>9.18</v>
      </c>
      <c r="I106" s="19">
        <v>8.65</v>
      </c>
      <c r="J106" s="20">
        <v>1.0003292699999999</v>
      </c>
    </row>
    <row r="107" spans="1:10" x14ac:dyDescent="0.25">
      <c r="A107">
        <f t="shared" si="2"/>
        <v>2010</v>
      </c>
      <c r="B107">
        <f t="shared" si="3"/>
        <v>4</v>
      </c>
      <c r="C107" s="18">
        <v>40269</v>
      </c>
      <c r="D107" s="19">
        <v>0.6956</v>
      </c>
      <c r="E107" s="19">
        <f>SUM(D107:$D$292)</f>
        <v>76.923300000000012</v>
      </c>
      <c r="F107" s="19">
        <v>8.8000000000000007</v>
      </c>
      <c r="G107" s="19">
        <v>2.8</v>
      </c>
      <c r="H107" s="19">
        <v>8.98</v>
      </c>
      <c r="I107" s="19">
        <v>8.65</v>
      </c>
      <c r="J107" s="20">
        <v>1.0003292699999999</v>
      </c>
    </row>
    <row r="108" spans="1:10" x14ac:dyDescent="0.25">
      <c r="A108">
        <f t="shared" si="2"/>
        <v>2010</v>
      </c>
      <c r="B108">
        <f t="shared" si="3"/>
        <v>5</v>
      </c>
      <c r="C108" s="18">
        <v>40299</v>
      </c>
      <c r="D108" s="19">
        <v>0.77380000000000004</v>
      </c>
      <c r="E108" s="19">
        <f>SUM(D108:$D$292)</f>
        <v>76.227700000000013</v>
      </c>
      <c r="F108" s="19">
        <v>9.5</v>
      </c>
      <c r="G108" s="19">
        <v>3.6</v>
      </c>
      <c r="H108" s="19">
        <v>8.92</v>
      </c>
      <c r="I108" s="19">
        <v>9.4</v>
      </c>
      <c r="J108" s="20">
        <v>1.0003565699999999</v>
      </c>
    </row>
    <row r="109" spans="1:10" x14ac:dyDescent="0.25">
      <c r="A109">
        <f t="shared" si="2"/>
        <v>2010</v>
      </c>
      <c r="B109">
        <f t="shared" si="3"/>
        <v>6</v>
      </c>
      <c r="C109" s="18">
        <v>40330</v>
      </c>
      <c r="D109" s="19">
        <v>0.7883</v>
      </c>
      <c r="E109" s="19">
        <f>SUM(D109:$D$292)</f>
        <v>75.453900000000004</v>
      </c>
      <c r="F109" s="19">
        <v>10.02</v>
      </c>
      <c r="G109" s="19">
        <v>4.41</v>
      </c>
      <c r="H109" s="19">
        <v>8.9499999999999993</v>
      </c>
      <c r="I109" s="19">
        <v>9.4</v>
      </c>
      <c r="J109" s="20">
        <v>1.0003565699999999</v>
      </c>
    </row>
    <row r="110" spans="1:10" x14ac:dyDescent="0.25">
      <c r="A110">
        <f t="shared" si="2"/>
        <v>2010</v>
      </c>
      <c r="B110">
        <f t="shared" si="3"/>
        <v>7</v>
      </c>
      <c r="C110" s="18">
        <v>40360</v>
      </c>
      <c r="D110" s="19">
        <v>0.84470000000000001</v>
      </c>
      <c r="E110" s="19">
        <f>SUM(D110:$D$292)</f>
        <v>74.665600000000026</v>
      </c>
      <c r="F110" s="19">
        <v>10.41</v>
      </c>
      <c r="G110" s="19">
        <v>5.29</v>
      </c>
      <c r="H110" s="19">
        <v>9.06</v>
      </c>
      <c r="I110" s="19">
        <v>10.16</v>
      </c>
      <c r="J110" s="20">
        <v>1.00038406</v>
      </c>
    </row>
    <row r="111" spans="1:10" x14ac:dyDescent="0.25">
      <c r="A111">
        <f t="shared" si="2"/>
        <v>2010</v>
      </c>
      <c r="B111">
        <f t="shared" si="3"/>
        <v>8</v>
      </c>
      <c r="C111" s="18">
        <v>40391</v>
      </c>
      <c r="D111" s="19">
        <v>0.871</v>
      </c>
      <c r="E111" s="19">
        <f>SUM(D111:$D$292)</f>
        <v>73.820900000000023</v>
      </c>
      <c r="F111" s="19">
        <v>10.75</v>
      </c>
      <c r="G111" s="19">
        <v>6.21</v>
      </c>
      <c r="H111" s="19">
        <v>9.23</v>
      </c>
      <c r="I111" s="19">
        <v>10.66</v>
      </c>
      <c r="J111" s="20">
        <v>1.0004020300000001</v>
      </c>
    </row>
    <row r="112" spans="1:10" x14ac:dyDescent="0.25">
      <c r="A112">
        <f t="shared" si="2"/>
        <v>2010</v>
      </c>
      <c r="B112">
        <f t="shared" si="3"/>
        <v>9</v>
      </c>
      <c r="C112" s="18">
        <v>40422</v>
      </c>
      <c r="D112" s="19">
        <v>0.8579</v>
      </c>
      <c r="E112" s="19">
        <f>SUM(D112:$D$292)</f>
        <v>72.949900000000028</v>
      </c>
      <c r="F112" s="19">
        <v>10.75</v>
      </c>
      <c r="G112" s="19">
        <v>6.26</v>
      </c>
      <c r="H112" s="19">
        <v>9.42</v>
      </c>
      <c r="I112" s="19">
        <v>10.66</v>
      </c>
      <c r="J112" s="20">
        <v>1.0004020300000001</v>
      </c>
    </row>
    <row r="113" spans="1:13" x14ac:dyDescent="0.25">
      <c r="A113">
        <f t="shared" si="2"/>
        <v>2010</v>
      </c>
      <c r="B113">
        <f t="shared" si="3"/>
        <v>10</v>
      </c>
      <c r="C113" s="18">
        <v>40452</v>
      </c>
      <c r="D113" s="19">
        <v>0.871</v>
      </c>
      <c r="E113" s="19">
        <f>SUM(D113:$D$292)</f>
        <v>72.092000000000027</v>
      </c>
      <c r="F113" s="19">
        <v>10.75</v>
      </c>
      <c r="G113" s="19">
        <v>8.0399999999999991</v>
      </c>
      <c r="H113" s="19">
        <v>9.56</v>
      </c>
      <c r="I113" s="19">
        <v>10.66</v>
      </c>
      <c r="J113" s="20">
        <v>1.0004020300000001</v>
      </c>
    </row>
    <row r="114" spans="1:13" x14ac:dyDescent="0.25">
      <c r="A114">
        <f t="shared" si="2"/>
        <v>2010</v>
      </c>
      <c r="B114">
        <f t="shared" si="3"/>
        <v>11</v>
      </c>
      <c r="C114" s="18">
        <v>40483</v>
      </c>
      <c r="D114" s="19">
        <v>0.84279999999999999</v>
      </c>
      <c r="E114" s="19">
        <f>SUM(D114:$D$292)</f>
        <v>71.221000000000018</v>
      </c>
      <c r="F114" s="19">
        <v>10.75</v>
      </c>
      <c r="G114" s="19">
        <v>8.9499999999999993</v>
      </c>
      <c r="H114" s="19">
        <v>9.73</v>
      </c>
      <c r="I114" s="19">
        <v>10.66</v>
      </c>
      <c r="J114" s="20">
        <v>1.0004020300000001</v>
      </c>
    </row>
    <row r="115" spans="1:13" x14ac:dyDescent="0.25">
      <c r="A115">
        <f t="shared" si="2"/>
        <v>2010</v>
      </c>
      <c r="B115">
        <f t="shared" si="3"/>
        <v>12</v>
      </c>
      <c r="C115" s="18">
        <v>40513</v>
      </c>
      <c r="D115" s="19">
        <v>0.871</v>
      </c>
      <c r="E115" s="19">
        <f>SUM(D115:$D$292)</f>
        <v>70.378200000000021</v>
      </c>
      <c r="F115" s="19">
        <v>10.75</v>
      </c>
      <c r="G115" s="19">
        <v>9.9</v>
      </c>
      <c r="H115" s="19">
        <v>9.9</v>
      </c>
      <c r="I115" s="19">
        <v>10.66</v>
      </c>
      <c r="J115" s="20">
        <v>1.0004020300000001</v>
      </c>
    </row>
    <row r="116" spans="1:13" x14ac:dyDescent="0.25">
      <c r="A116">
        <f t="shared" si="2"/>
        <v>2011</v>
      </c>
      <c r="B116">
        <f t="shared" si="3"/>
        <v>1</v>
      </c>
      <c r="C116" s="18">
        <v>40544</v>
      </c>
      <c r="D116" s="19">
        <v>0.88590000000000002</v>
      </c>
      <c r="E116" s="19">
        <f>SUM(D116:$D$292)</f>
        <v>69.507200000000012</v>
      </c>
      <c r="F116" s="19">
        <v>10.94</v>
      </c>
      <c r="G116" s="19">
        <v>0.89</v>
      </c>
      <c r="H116" s="19">
        <v>10.09</v>
      </c>
      <c r="I116" s="19">
        <v>10.67</v>
      </c>
      <c r="J116" s="20">
        <v>1.0004023900000001</v>
      </c>
    </row>
    <row r="117" spans="1:13" x14ac:dyDescent="0.25">
      <c r="A117">
        <f t="shared" si="2"/>
        <v>2011</v>
      </c>
      <c r="B117">
        <f t="shared" si="3"/>
        <v>2</v>
      </c>
      <c r="C117" s="18">
        <v>40575</v>
      </c>
      <c r="D117" s="19">
        <v>0.82120000000000004</v>
      </c>
      <c r="E117" s="19">
        <f>SUM(D117:$D$292)</f>
        <v>68.621300000000005</v>
      </c>
      <c r="F117" s="19">
        <v>11.25</v>
      </c>
      <c r="G117" s="19">
        <v>1.71</v>
      </c>
      <c r="H117" s="19">
        <v>10.28</v>
      </c>
      <c r="I117" s="19">
        <v>11.16</v>
      </c>
      <c r="J117" s="20">
        <v>1.0004199300000001</v>
      </c>
    </row>
    <row r="118" spans="1:13" x14ac:dyDescent="0.25">
      <c r="A118">
        <f t="shared" si="2"/>
        <v>2011</v>
      </c>
      <c r="B118">
        <f t="shared" si="3"/>
        <v>3</v>
      </c>
      <c r="C118" s="18">
        <v>40603</v>
      </c>
      <c r="D118" s="19">
        <v>0.94550000000000001</v>
      </c>
      <c r="E118" s="19">
        <f>SUM(D118:$D$292)</f>
        <v>67.800100000000015</v>
      </c>
      <c r="F118" s="19">
        <v>11.72</v>
      </c>
      <c r="G118" s="19">
        <v>2.68</v>
      </c>
      <c r="H118" s="19">
        <v>10.53</v>
      </c>
      <c r="I118" s="19">
        <v>11.17</v>
      </c>
      <c r="J118" s="20">
        <v>1.0004202900000001</v>
      </c>
    </row>
    <row r="119" spans="1:13" x14ac:dyDescent="0.25">
      <c r="A119">
        <f t="shared" si="2"/>
        <v>2011</v>
      </c>
      <c r="B119">
        <f t="shared" si="3"/>
        <v>4</v>
      </c>
      <c r="C119" s="18">
        <v>40634</v>
      </c>
      <c r="D119" s="19">
        <v>0.92349999999999999</v>
      </c>
      <c r="E119" s="19">
        <f>SUM(D119:$D$292)</f>
        <v>66.854600000000019</v>
      </c>
      <c r="F119" s="19">
        <v>11.83</v>
      </c>
      <c r="G119" s="19">
        <v>3.62</v>
      </c>
      <c r="H119" s="19">
        <v>10.78</v>
      </c>
      <c r="I119" s="19">
        <v>11.67</v>
      </c>
      <c r="J119" s="20">
        <v>1.0004381</v>
      </c>
    </row>
    <row r="120" spans="1:13" x14ac:dyDescent="0.25">
      <c r="A120">
        <f t="shared" si="2"/>
        <v>2011</v>
      </c>
      <c r="B120">
        <f t="shared" si="3"/>
        <v>5</v>
      </c>
      <c r="C120" s="18">
        <v>40664</v>
      </c>
      <c r="D120" s="19">
        <v>0.96589999999999998</v>
      </c>
      <c r="E120" s="19">
        <f>SUM(D120:$D$292)</f>
        <v>65.931100000000015</v>
      </c>
      <c r="F120" s="19">
        <v>11.98</v>
      </c>
      <c r="G120" s="19">
        <v>4.63</v>
      </c>
      <c r="H120" s="19">
        <v>10.99</v>
      </c>
      <c r="I120" s="19">
        <v>11.92</v>
      </c>
      <c r="J120" s="20">
        <v>1.00044698</v>
      </c>
    </row>
    <row r="121" spans="1:13" x14ac:dyDescent="0.25">
      <c r="A121">
        <f t="shared" si="2"/>
        <v>2011</v>
      </c>
      <c r="B121">
        <f t="shared" si="3"/>
        <v>6</v>
      </c>
      <c r="C121" s="18">
        <v>40695</v>
      </c>
      <c r="D121" s="19">
        <v>0.94810000000000005</v>
      </c>
      <c r="E121" s="19">
        <f>SUM(D121:$D$292)</f>
        <v>64.965200000000024</v>
      </c>
      <c r="F121" s="19">
        <v>12.17</v>
      </c>
      <c r="G121" s="19">
        <v>5.62</v>
      </c>
      <c r="H121" s="19">
        <v>11.17</v>
      </c>
      <c r="I121" s="19">
        <v>11.92</v>
      </c>
      <c r="J121" s="20">
        <v>1.00044698</v>
      </c>
    </row>
    <row r="122" spans="1:13" x14ac:dyDescent="0.25">
      <c r="A122">
        <f t="shared" si="2"/>
        <v>2011</v>
      </c>
      <c r="B122">
        <f t="shared" si="3"/>
        <v>7</v>
      </c>
      <c r="C122" s="18">
        <v>40725</v>
      </c>
      <c r="D122" s="19">
        <v>0.99309999999999998</v>
      </c>
      <c r="E122" s="19">
        <f>SUM(D122:$D$292)</f>
        <v>64.017099999999999</v>
      </c>
      <c r="F122" s="19">
        <v>12.34</v>
      </c>
      <c r="G122" s="19">
        <v>6.67</v>
      </c>
      <c r="H122" s="19">
        <v>11.33</v>
      </c>
      <c r="I122" s="19">
        <v>12.17</v>
      </c>
      <c r="J122" s="20">
        <v>1.0004558400000001</v>
      </c>
    </row>
    <row r="123" spans="1:13" x14ac:dyDescent="0.25">
      <c r="A123">
        <f t="shared" si="2"/>
        <v>2011</v>
      </c>
      <c r="B123">
        <f t="shared" si="3"/>
        <v>8</v>
      </c>
      <c r="C123" s="18">
        <v>40756</v>
      </c>
      <c r="D123" s="19">
        <v>1.0054000000000001</v>
      </c>
      <c r="E123" s="19">
        <f>SUM(D123:$D$292)</f>
        <v>63.024000000000008</v>
      </c>
      <c r="F123" s="19">
        <v>12.5</v>
      </c>
      <c r="G123" s="19">
        <v>7.74</v>
      </c>
      <c r="H123" s="19">
        <v>11.48</v>
      </c>
      <c r="I123" s="19">
        <v>12.42</v>
      </c>
      <c r="J123" s="20">
        <v>1.0004646800000001</v>
      </c>
    </row>
    <row r="124" spans="1:13" x14ac:dyDescent="0.25">
      <c r="A124">
        <f t="shared" si="2"/>
        <v>2011</v>
      </c>
      <c r="B124">
        <f t="shared" si="3"/>
        <v>9</v>
      </c>
      <c r="C124" s="18">
        <v>40787</v>
      </c>
      <c r="D124" s="19">
        <v>0.93579999999999997</v>
      </c>
      <c r="E124" s="19">
        <f>SUM(D124:$D$292)</f>
        <v>62.018600000000013</v>
      </c>
      <c r="F124" s="19">
        <v>12</v>
      </c>
      <c r="G124" s="19">
        <v>8.75</v>
      </c>
      <c r="H124" s="19">
        <v>11.58</v>
      </c>
      <c r="I124" s="19">
        <v>11.91</v>
      </c>
      <c r="J124" s="20">
        <v>1.0004466299999999</v>
      </c>
    </row>
    <row r="125" spans="1:13" x14ac:dyDescent="0.25">
      <c r="A125">
        <f t="shared" si="2"/>
        <v>2011</v>
      </c>
      <c r="B125">
        <f t="shared" si="3"/>
        <v>10</v>
      </c>
      <c r="C125" s="18">
        <v>40817</v>
      </c>
      <c r="D125" s="19">
        <v>0.95230000000000004</v>
      </c>
      <c r="E125" s="19">
        <f>SUM(D125:$D$292)</f>
        <v>61.082800000000013</v>
      </c>
      <c r="F125" s="19">
        <v>11.81</v>
      </c>
      <c r="G125" s="19">
        <v>9.7799999999999994</v>
      </c>
      <c r="H125" s="19">
        <v>11.67</v>
      </c>
      <c r="I125" s="19">
        <v>11.9</v>
      </c>
      <c r="J125" s="20">
        <v>1.0004462700000001</v>
      </c>
    </row>
    <row r="126" spans="1:13" x14ac:dyDescent="0.25">
      <c r="A126">
        <f t="shared" si="2"/>
        <v>2011</v>
      </c>
      <c r="B126">
        <f t="shared" si="3"/>
        <v>11</v>
      </c>
      <c r="C126" s="18">
        <v>40848</v>
      </c>
      <c r="D126" s="19">
        <v>0.89870000000000005</v>
      </c>
      <c r="E126" s="19">
        <f>SUM(D126:$D$292)</f>
        <v>60.130500000000012</v>
      </c>
      <c r="F126" s="19">
        <v>11.5</v>
      </c>
      <c r="G126" s="19">
        <v>10.77</v>
      </c>
      <c r="H126" s="19">
        <v>11.73</v>
      </c>
      <c r="I126" s="19">
        <v>11.4</v>
      </c>
      <c r="J126" s="20">
        <v>1.00042849</v>
      </c>
    </row>
    <row r="127" spans="1:13" x14ac:dyDescent="0.25">
      <c r="A127">
        <f t="shared" si="2"/>
        <v>2011</v>
      </c>
      <c r="B127">
        <f t="shared" si="3"/>
        <v>12</v>
      </c>
      <c r="C127" s="18">
        <v>40878</v>
      </c>
      <c r="D127" s="19">
        <v>0.89029999999999998</v>
      </c>
      <c r="E127" s="19">
        <f>SUM(D127:$D$292)</f>
        <v>59.231800000000014</v>
      </c>
      <c r="F127" s="19">
        <v>11</v>
      </c>
      <c r="G127" s="19">
        <v>11.76</v>
      </c>
      <c r="H127" s="19">
        <v>11.76</v>
      </c>
      <c r="I127" s="19">
        <v>10.9</v>
      </c>
      <c r="J127" s="20">
        <v>1.00041063</v>
      </c>
    </row>
    <row r="128" spans="1:13" x14ac:dyDescent="0.25">
      <c r="A128">
        <f t="shared" si="2"/>
        <v>2012</v>
      </c>
      <c r="B128">
        <f t="shared" si="3"/>
        <v>1</v>
      </c>
      <c r="C128" s="18">
        <v>40909</v>
      </c>
      <c r="D128" s="21">
        <v>0.87170000000000003</v>
      </c>
      <c r="E128" s="19">
        <f>SUM(D128:$D$292)</f>
        <v>58.341500000000018</v>
      </c>
      <c r="F128" s="19">
        <v>10.79</v>
      </c>
      <c r="G128" s="19">
        <v>0.87</v>
      </c>
      <c r="H128" s="19">
        <v>11.74</v>
      </c>
      <c r="I128" s="19">
        <v>10.9</v>
      </c>
      <c r="J128" s="20">
        <v>1.00041063</v>
      </c>
      <c r="L128" s="22">
        <f>SUM(D129:D192)</f>
        <v>56.664500000000011</v>
      </c>
      <c r="M128" s="22">
        <f>L128+1</f>
        <v>57.664500000000011</v>
      </c>
    </row>
    <row r="129" spans="1:10" x14ac:dyDescent="0.25">
      <c r="A129">
        <f t="shared" si="2"/>
        <v>2012</v>
      </c>
      <c r="B129">
        <f t="shared" si="3"/>
        <v>2</v>
      </c>
      <c r="C129" s="18">
        <v>40940</v>
      </c>
      <c r="D129" s="21">
        <v>0.79430000000000001</v>
      </c>
      <c r="E129" s="19">
        <f>SUM(D129:$D$292)</f>
        <v>57.469800000000014</v>
      </c>
      <c r="F129" s="19">
        <v>10.5</v>
      </c>
      <c r="G129" s="19">
        <v>1.67</v>
      </c>
      <c r="H129" s="19">
        <v>11.71</v>
      </c>
      <c r="I129" s="19">
        <v>10.4</v>
      </c>
      <c r="J129" s="20">
        <v>1.0003926999999999</v>
      </c>
    </row>
    <row r="130" spans="1:10" x14ac:dyDescent="0.25">
      <c r="A130">
        <f t="shared" si="2"/>
        <v>2012</v>
      </c>
      <c r="B130">
        <f t="shared" si="3"/>
        <v>3</v>
      </c>
      <c r="C130" s="18">
        <v>40969</v>
      </c>
      <c r="D130" s="21">
        <v>0.80420000000000003</v>
      </c>
      <c r="E130" s="19">
        <f>SUM(D130:$D$292)</f>
        <v>56.675500000000021</v>
      </c>
      <c r="F130" s="19">
        <v>9.92</v>
      </c>
      <c r="G130" s="19">
        <v>2.4900000000000002</v>
      </c>
      <c r="H130" s="19">
        <v>11.55</v>
      </c>
      <c r="I130" s="19">
        <v>10.4</v>
      </c>
      <c r="J130" s="20">
        <v>1.0003926999999999</v>
      </c>
    </row>
    <row r="131" spans="1:10" x14ac:dyDescent="0.25">
      <c r="A131">
        <f t="shared" si="2"/>
        <v>2012</v>
      </c>
      <c r="B131">
        <f t="shared" si="3"/>
        <v>4</v>
      </c>
      <c r="C131" s="18">
        <v>41000</v>
      </c>
      <c r="D131" s="21">
        <v>0.74360000000000004</v>
      </c>
      <c r="E131" s="19">
        <f>SUM(D131:$D$292)</f>
        <v>55.871300000000012</v>
      </c>
      <c r="F131" s="19">
        <v>9.4600000000000009</v>
      </c>
      <c r="G131" s="19">
        <v>3.25</v>
      </c>
      <c r="H131" s="19">
        <v>11.35</v>
      </c>
      <c r="I131" s="19">
        <v>9.65</v>
      </c>
      <c r="J131" s="20">
        <v>1.0003656400000001</v>
      </c>
    </row>
    <row r="132" spans="1:10" x14ac:dyDescent="0.25">
      <c r="A132">
        <f t="shared" si="2"/>
        <v>2012</v>
      </c>
      <c r="B132">
        <f t="shared" si="3"/>
        <v>5</v>
      </c>
      <c r="C132" s="18">
        <v>41030</v>
      </c>
      <c r="D132" s="21">
        <v>0.73329999999999995</v>
      </c>
      <c r="E132" s="19">
        <f>SUM(D132:$D$292)</f>
        <v>55.127700000000019</v>
      </c>
      <c r="F132" s="19">
        <v>9.01</v>
      </c>
      <c r="G132" s="19">
        <v>4.01</v>
      </c>
      <c r="H132" s="19">
        <v>11.1</v>
      </c>
      <c r="I132" s="19">
        <v>8.9</v>
      </c>
      <c r="J132" s="20">
        <v>1.00033839</v>
      </c>
    </row>
    <row r="133" spans="1:10" x14ac:dyDescent="0.25">
      <c r="A133">
        <f t="shared" si="2"/>
        <v>2012</v>
      </c>
      <c r="B133">
        <f t="shared" si="3"/>
        <v>6</v>
      </c>
      <c r="C133" s="18">
        <v>41061</v>
      </c>
      <c r="D133" s="21">
        <v>0.67090000000000005</v>
      </c>
      <c r="E133" s="19">
        <f>SUM(D133:$D$292)</f>
        <v>54.394400000000019</v>
      </c>
      <c r="F133" s="19">
        <v>8.5</v>
      </c>
      <c r="G133" s="19">
        <v>4.71</v>
      </c>
      <c r="H133" s="19">
        <v>10.79</v>
      </c>
      <c r="I133" s="19">
        <v>8.39</v>
      </c>
      <c r="J133" s="20">
        <v>1.00031976</v>
      </c>
    </row>
    <row r="134" spans="1:10" x14ac:dyDescent="0.25">
      <c r="A134">
        <f t="shared" si="2"/>
        <v>2012</v>
      </c>
      <c r="B134">
        <f t="shared" si="3"/>
        <v>7</v>
      </c>
      <c r="C134" s="18">
        <v>41091</v>
      </c>
      <c r="D134" s="21">
        <v>0.66800000000000004</v>
      </c>
      <c r="E134" s="19">
        <f>SUM(D134:$D$292)</f>
        <v>53.723500000000016</v>
      </c>
      <c r="F134" s="19">
        <v>8.18</v>
      </c>
      <c r="G134" s="19">
        <v>5.4</v>
      </c>
      <c r="H134" s="19">
        <v>10.43</v>
      </c>
      <c r="I134" s="19">
        <v>8.39</v>
      </c>
      <c r="J134" s="20">
        <v>1.00031976</v>
      </c>
    </row>
    <row r="135" spans="1:10" x14ac:dyDescent="0.25">
      <c r="A135">
        <f t="shared" si="2"/>
        <v>2012</v>
      </c>
      <c r="B135">
        <f t="shared" si="3"/>
        <v>8</v>
      </c>
      <c r="C135" s="18">
        <v>41122</v>
      </c>
      <c r="D135" s="21">
        <v>0.65139999999999998</v>
      </c>
      <c r="E135" s="19">
        <f>SUM(D135:$D$292)</f>
        <v>53.055500000000016</v>
      </c>
      <c r="F135" s="19">
        <v>7.97</v>
      </c>
      <c r="G135" s="19">
        <v>6.09</v>
      </c>
      <c r="H135" s="19">
        <v>10.050000000000001</v>
      </c>
      <c r="I135" s="19">
        <v>7.89</v>
      </c>
      <c r="J135" s="20">
        <v>1.0003013999999999</v>
      </c>
    </row>
    <row r="136" spans="1:10" x14ac:dyDescent="0.25">
      <c r="A136">
        <f t="shared" si="2"/>
        <v>2012</v>
      </c>
      <c r="B136">
        <f t="shared" si="3"/>
        <v>9</v>
      </c>
      <c r="C136" s="18">
        <v>41153</v>
      </c>
      <c r="D136" s="21">
        <v>0.59460000000000002</v>
      </c>
      <c r="E136" s="19">
        <f>SUM(D136:$D$292)</f>
        <v>52.404100000000014</v>
      </c>
      <c r="F136" s="19">
        <v>7.5</v>
      </c>
      <c r="G136" s="19">
        <v>6.72</v>
      </c>
      <c r="H136" s="19">
        <v>9.67</v>
      </c>
      <c r="I136" s="19">
        <v>7.39</v>
      </c>
      <c r="J136" s="20">
        <v>1.0002829600000001</v>
      </c>
    </row>
    <row r="137" spans="1:10" x14ac:dyDescent="0.25">
      <c r="A137">
        <f t="shared" ref="A137:A192" si="4">YEAR(C137)</f>
        <v>2012</v>
      </c>
      <c r="B137">
        <f t="shared" ref="B137:B192" si="5">MONTH(C137)</f>
        <v>10</v>
      </c>
      <c r="C137" s="18">
        <v>41183</v>
      </c>
      <c r="D137" s="21">
        <v>0.60099999999999998</v>
      </c>
      <c r="E137" s="19">
        <f>SUM(D137:$D$292)</f>
        <v>51.809500000000014</v>
      </c>
      <c r="F137" s="19">
        <v>7.33</v>
      </c>
      <c r="G137" s="19">
        <v>7.36</v>
      </c>
      <c r="H137" s="19">
        <v>9.2899999999999991</v>
      </c>
      <c r="I137" s="19">
        <v>7.39</v>
      </c>
      <c r="J137" s="20">
        <v>1.0002829600000001</v>
      </c>
    </row>
    <row r="138" spans="1:10" x14ac:dyDescent="0.25">
      <c r="A138">
        <f t="shared" si="4"/>
        <v>2012</v>
      </c>
      <c r="B138">
        <f t="shared" si="5"/>
        <v>11</v>
      </c>
      <c r="C138" s="18">
        <v>41214</v>
      </c>
      <c r="D138" s="21">
        <v>0.57540000000000002</v>
      </c>
      <c r="E138" s="19">
        <f>SUM(D138:$D$292)</f>
        <v>51.208500000000008</v>
      </c>
      <c r="F138" s="19">
        <v>7.25</v>
      </c>
      <c r="G138" s="19">
        <v>7.98</v>
      </c>
      <c r="H138" s="19">
        <v>8.94</v>
      </c>
      <c r="I138" s="19">
        <v>7.14</v>
      </c>
      <c r="J138" s="20">
        <v>1.0002737100000001</v>
      </c>
    </row>
    <row r="139" spans="1:10" x14ac:dyDescent="0.25">
      <c r="A139">
        <f t="shared" si="4"/>
        <v>2012</v>
      </c>
      <c r="B139">
        <f t="shared" si="5"/>
        <v>12</v>
      </c>
      <c r="C139" s="18">
        <v>41244</v>
      </c>
      <c r="D139" s="21">
        <v>0.59460000000000002</v>
      </c>
      <c r="E139" s="19">
        <f>SUM(D139:$D$292)</f>
        <v>50.633100000000006</v>
      </c>
      <c r="F139" s="19">
        <v>7.25</v>
      </c>
      <c r="G139" s="19">
        <v>8.6199999999999992</v>
      </c>
      <c r="H139" s="19">
        <v>8.6199999999999992</v>
      </c>
      <c r="I139" s="19">
        <v>7.14</v>
      </c>
      <c r="J139" s="20">
        <v>1.0002737100000001</v>
      </c>
    </row>
    <row r="140" spans="1:10" x14ac:dyDescent="0.25">
      <c r="A140">
        <f t="shared" si="4"/>
        <v>2013</v>
      </c>
      <c r="B140">
        <f t="shared" si="5"/>
        <v>1</v>
      </c>
      <c r="C140" s="18">
        <v>41275</v>
      </c>
      <c r="D140" s="21">
        <v>0.59619999999999995</v>
      </c>
      <c r="E140" s="19">
        <f>SUM(D140:$D$292)</f>
        <v>50.038500000000006</v>
      </c>
      <c r="F140" s="19">
        <v>7.25</v>
      </c>
      <c r="G140" s="19">
        <v>0.6</v>
      </c>
      <c r="H140" s="19">
        <v>8.33</v>
      </c>
      <c r="I140" s="19">
        <v>7.11</v>
      </c>
      <c r="J140" s="20">
        <v>1.0002726</v>
      </c>
    </row>
    <row r="141" spans="1:10" x14ac:dyDescent="0.25">
      <c r="A141">
        <f t="shared" si="4"/>
        <v>2013</v>
      </c>
      <c r="B141">
        <f t="shared" si="5"/>
        <v>2</v>
      </c>
      <c r="C141" s="18">
        <v>41306</v>
      </c>
      <c r="D141" s="21">
        <v>0.53839999999999999</v>
      </c>
      <c r="E141" s="19">
        <f>SUM(D141:$D$292)</f>
        <v>49.442300000000003</v>
      </c>
      <c r="F141" s="19">
        <v>7.25</v>
      </c>
      <c r="G141" s="19">
        <v>1.1399999999999999</v>
      </c>
      <c r="H141" s="19">
        <v>8.08</v>
      </c>
      <c r="I141" s="19">
        <v>7.11</v>
      </c>
      <c r="J141" s="20">
        <v>1.0002726</v>
      </c>
    </row>
    <row r="142" spans="1:10" x14ac:dyDescent="0.25">
      <c r="A142">
        <f t="shared" si="4"/>
        <v>2013</v>
      </c>
      <c r="B142">
        <f t="shared" si="5"/>
        <v>3</v>
      </c>
      <c r="C142" s="18">
        <v>41334</v>
      </c>
      <c r="D142" s="21">
        <v>0.59619999999999995</v>
      </c>
      <c r="E142" s="19">
        <f>SUM(D142:$D$292)</f>
        <v>48.903900000000007</v>
      </c>
      <c r="F142" s="19">
        <v>7.25</v>
      </c>
      <c r="G142" s="19">
        <v>1.74</v>
      </c>
      <c r="H142" s="19">
        <v>7.83</v>
      </c>
      <c r="I142" s="19">
        <v>7.14</v>
      </c>
      <c r="J142" s="20">
        <v>1.0002737100000001</v>
      </c>
    </row>
    <row r="143" spans="1:10" x14ac:dyDescent="0.25">
      <c r="A143">
        <f t="shared" si="4"/>
        <v>2013</v>
      </c>
      <c r="B143">
        <f t="shared" si="5"/>
        <v>4</v>
      </c>
      <c r="C143" s="18">
        <v>41365</v>
      </c>
      <c r="D143" s="21">
        <v>0.57689999999999997</v>
      </c>
      <c r="E143" s="19">
        <f>SUM(D143:$D$292)</f>
        <v>48.307700000000004</v>
      </c>
      <c r="F143" s="19">
        <v>7.25</v>
      </c>
      <c r="G143" s="19">
        <v>2.34</v>
      </c>
      <c r="H143" s="19">
        <v>7.66</v>
      </c>
      <c r="I143" s="19">
        <v>7.16</v>
      </c>
      <c r="J143" s="20">
        <v>1.00027445</v>
      </c>
    </row>
    <row r="144" spans="1:10" x14ac:dyDescent="0.25">
      <c r="A144">
        <f t="shared" si="4"/>
        <v>2013</v>
      </c>
      <c r="B144">
        <f t="shared" si="5"/>
        <v>5</v>
      </c>
      <c r="C144" s="18">
        <v>41395</v>
      </c>
      <c r="D144" s="21">
        <v>0.61870000000000003</v>
      </c>
      <c r="E144" s="19">
        <f>SUM(D144:$D$292)</f>
        <v>47.730800000000002</v>
      </c>
      <c r="F144" s="19">
        <v>7.53</v>
      </c>
      <c r="G144" s="19">
        <v>2.97</v>
      </c>
      <c r="H144" s="19">
        <v>7.54</v>
      </c>
      <c r="I144" s="19">
        <v>7.4</v>
      </c>
      <c r="J144" s="20">
        <v>1.00028333</v>
      </c>
    </row>
    <row r="145" spans="1:10" x14ac:dyDescent="0.25">
      <c r="A145">
        <f t="shared" si="4"/>
        <v>2013</v>
      </c>
      <c r="B145">
        <f t="shared" si="5"/>
        <v>6</v>
      </c>
      <c r="C145" s="18">
        <v>41426</v>
      </c>
      <c r="D145" s="21">
        <v>0.63460000000000005</v>
      </c>
      <c r="E145" s="19">
        <f>SUM(D145:$D$292)</f>
        <v>47.112099999999998</v>
      </c>
      <c r="F145" s="19">
        <v>8</v>
      </c>
      <c r="G145" s="19">
        <v>3.62</v>
      </c>
      <c r="H145" s="19">
        <v>7.5</v>
      </c>
      <c r="I145" s="19">
        <v>7.9</v>
      </c>
      <c r="J145" s="20">
        <v>1.0003017700000001</v>
      </c>
    </row>
    <row r="146" spans="1:10" x14ac:dyDescent="0.25">
      <c r="A146">
        <f t="shared" si="4"/>
        <v>2013</v>
      </c>
      <c r="B146">
        <f t="shared" si="5"/>
        <v>7</v>
      </c>
      <c r="C146" s="18">
        <v>41456</v>
      </c>
      <c r="D146" s="21">
        <v>0.6825</v>
      </c>
      <c r="E146" s="19">
        <f>SUM(D146:$D$292)</f>
        <v>46.477499999999999</v>
      </c>
      <c r="F146" s="19">
        <v>8.34</v>
      </c>
      <c r="G146" s="19">
        <v>4.33</v>
      </c>
      <c r="H146" s="19">
        <v>7.52</v>
      </c>
      <c r="I146" s="19">
        <v>7.9</v>
      </c>
      <c r="J146" s="20">
        <v>1.0003017700000001</v>
      </c>
    </row>
    <row r="147" spans="1:10" x14ac:dyDescent="0.25">
      <c r="A147">
        <f t="shared" si="4"/>
        <v>2013</v>
      </c>
      <c r="B147">
        <f t="shared" si="5"/>
        <v>8</v>
      </c>
      <c r="C147" s="18">
        <v>41487</v>
      </c>
      <c r="D147" s="21">
        <v>0.69910000000000005</v>
      </c>
      <c r="E147" s="19">
        <f>SUM(D147:$D$292)</f>
        <v>45.794999999999995</v>
      </c>
      <c r="F147" s="19">
        <v>8.5500000000000007</v>
      </c>
      <c r="G147" s="19">
        <v>5.0599999999999996</v>
      </c>
      <c r="H147" s="19">
        <v>7.57</v>
      </c>
      <c r="I147" s="19">
        <v>8.4</v>
      </c>
      <c r="J147" s="20">
        <v>1.00032012</v>
      </c>
    </row>
    <row r="148" spans="1:10" x14ac:dyDescent="0.25">
      <c r="A148">
        <f t="shared" si="4"/>
        <v>2013</v>
      </c>
      <c r="B148">
        <f t="shared" si="5"/>
        <v>9</v>
      </c>
      <c r="C148" s="18">
        <v>41518</v>
      </c>
      <c r="D148" s="21">
        <v>0.71079999999999999</v>
      </c>
      <c r="E148" s="19">
        <f>SUM(D148:$D$292)</f>
        <v>45.095899999999993</v>
      </c>
      <c r="F148" s="19">
        <v>9</v>
      </c>
      <c r="G148" s="19">
        <v>5.81</v>
      </c>
      <c r="H148" s="19">
        <v>7.69</v>
      </c>
      <c r="I148" s="19">
        <v>8.9</v>
      </c>
      <c r="J148" s="20">
        <v>1.00033839</v>
      </c>
    </row>
    <row r="149" spans="1:10" x14ac:dyDescent="0.25">
      <c r="A149">
        <f t="shared" si="4"/>
        <v>2013</v>
      </c>
      <c r="B149">
        <f t="shared" si="5"/>
        <v>10</v>
      </c>
      <c r="C149" s="18">
        <v>41548</v>
      </c>
      <c r="D149" s="21">
        <v>0.76239999999999997</v>
      </c>
      <c r="E149" s="19">
        <f>SUM(D149:$D$292)</f>
        <v>44.385099999999994</v>
      </c>
      <c r="F149" s="19">
        <v>9.35</v>
      </c>
      <c r="G149" s="19">
        <v>6.61</v>
      </c>
      <c r="H149" s="19">
        <v>7.86</v>
      </c>
      <c r="I149" s="19">
        <v>8.9</v>
      </c>
      <c r="J149" s="20">
        <v>1.00033839</v>
      </c>
    </row>
    <row r="150" spans="1:10" x14ac:dyDescent="0.25">
      <c r="A150">
        <f t="shared" si="4"/>
        <v>2013</v>
      </c>
      <c r="B150">
        <f t="shared" si="5"/>
        <v>11</v>
      </c>
      <c r="C150" s="18">
        <v>41579</v>
      </c>
      <c r="D150" s="21">
        <v>0.75249999999999995</v>
      </c>
      <c r="E150" s="19">
        <f>SUM(D150:$D$292)</f>
        <v>43.622699999999988</v>
      </c>
      <c r="F150" s="19">
        <v>9.5500000000000007</v>
      </c>
      <c r="G150" s="19">
        <v>7.42</v>
      </c>
      <c r="H150" s="19">
        <v>8.0500000000000007</v>
      </c>
      <c r="I150" s="19">
        <v>9.4</v>
      </c>
      <c r="J150" s="20">
        <v>1.0003565699999999</v>
      </c>
    </row>
    <row r="151" spans="1:10" x14ac:dyDescent="0.25">
      <c r="A151">
        <f t="shared" si="4"/>
        <v>2013</v>
      </c>
      <c r="B151">
        <f t="shared" si="5"/>
        <v>12</v>
      </c>
      <c r="C151" s="18">
        <v>41609</v>
      </c>
      <c r="D151" s="21">
        <v>0.81279999999999997</v>
      </c>
      <c r="E151" s="19">
        <f>SUM(D151:$D$292)</f>
        <v>42.870199999999983</v>
      </c>
      <c r="F151" s="19">
        <v>10</v>
      </c>
      <c r="G151" s="19">
        <v>8.2899999999999991</v>
      </c>
      <c r="H151" s="19">
        <v>8.2899999999999991</v>
      </c>
      <c r="I151" s="19">
        <v>9.9</v>
      </c>
      <c r="J151" s="20">
        <v>1.00037468</v>
      </c>
    </row>
    <row r="152" spans="1:10" x14ac:dyDescent="0.25">
      <c r="A152">
        <f t="shared" si="4"/>
        <v>2014</v>
      </c>
      <c r="B152">
        <f t="shared" si="5"/>
        <v>1</v>
      </c>
      <c r="C152" s="18">
        <v>41640</v>
      </c>
      <c r="D152" s="21">
        <v>0.83279999999999998</v>
      </c>
      <c r="E152" s="19">
        <f>SUM(D152:$D$292)</f>
        <v>42.057399999999987</v>
      </c>
      <c r="F152" s="19">
        <v>10.26</v>
      </c>
      <c r="G152" s="19">
        <v>0.83</v>
      </c>
      <c r="H152" s="19">
        <v>8.5399999999999991</v>
      </c>
      <c r="I152" s="19">
        <v>9.9</v>
      </c>
      <c r="J152" s="20">
        <v>1.00037468</v>
      </c>
    </row>
    <row r="153" spans="1:10" x14ac:dyDescent="0.25">
      <c r="A153">
        <f t="shared" si="4"/>
        <v>2014</v>
      </c>
      <c r="B153">
        <f t="shared" si="5"/>
        <v>2</v>
      </c>
      <c r="C153" s="18">
        <v>41671</v>
      </c>
      <c r="D153" s="21">
        <v>0.77010000000000001</v>
      </c>
      <c r="E153" s="19">
        <f>SUM(D153:$D$292)</f>
        <v>41.224599999999981</v>
      </c>
      <c r="F153" s="19">
        <v>10.52</v>
      </c>
      <c r="G153" s="19">
        <v>1.61</v>
      </c>
      <c r="H153" s="19">
        <v>8.7899999999999991</v>
      </c>
      <c r="I153" s="19">
        <v>10.4</v>
      </c>
      <c r="J153" s="20">
        <v>1.0003926999999999</v>
      </c>
    </row>
    <row r="154" spans="1:10" x14ac:dyDescent="0.25">
      <c r="A154">
        <f t="shared" si="4"/>
        <v>2014</v>
      </c>
      <c r="B154">
        <f t="shared" si="5"/>
        <v>3</v>
      </c>
      <c r="C154" s="18">
        <v>41699</v>
      </c>
      <c r="D154" s="21">
        <v>0.871</v>
      </c>
      <c r="E154" s="19">
        <f>SUM(D154:$D$292)</f>
        <v>40.454499999999982</v>
      </c>
      <c r="F154" s="19">
        <v>10.75</v>
      </c>
      <c r="G154" s="19">
        <v>2.4900000000000002</v>
      </c>
      <c r="H154" s="19">
        <v>9.09</v>
      </c>
      <c r="I154" s="19">
        <v>10.65</v>
      </c>
      <c r="J154" s="20">
        <v>1.00040168</v>
      </c>
    </row>
    <row r="155" spans="1:10" x14ac:dyDescent="0.25">
      <c r="A155">
        <f t="shared" si="4"/>
        <v>2014</v>
      </c>
      <c r="B155">
        <f t="shared" si="5"/>
        <v>4</v>
      </c>
      <c r="C155" s="18">
        <v>41730</v>
      </c>
      <c r="D155" s="21">
        <v>0.86019999999999996</v>
      </c>
      <c r="E155" s="19">
        <f>SUM(D155:$D$292)</f>
        <v>39.583499999999987</v>
      </c>
      <c r="F155" s="19">
        <v>10.98</v>
      </c>
      <c r="G155" s="19">
        <v>3.38</v>
      </c>
      <c r="H155" s="19">
        <v>9.39</v>
      </c>
      <c r="I155" s="19">
        <v>10.65</v>
      </c>
      <c r="J155" s="20">
        <v>1.00040168</v>
      </c>
    </row>
    <row r="156" spans="1:10" x14ac:dyDescent="0.25">
      <c r="A156">
        <f t="shared" si="4"/>
        <v>2014</v>
      </c>
      <c r="B156">
        <f t="shared" si="5"/>
        <v>5</v>
      </c>
      <c r="C156" s="18">
        <v>41760</v>
      </c>
      <c r="D156" s="21">
        <v>0.86140000000000005</v>
      </c>
      <c r="E156" s="19">
        <f>SUM(D156:$D$292)</f>
        <v>38.723299999999988</v>
      </c>
      <c r="F156" s="19">
        <v>10.63</v>
      </c>
      <c r="G156" s="19">
        <v>4.2699999999999996</v>
      </c>
      <c r="H156" s="19">
        <v>9.68</v>
      </c>
      <c r="I156" s="19">
        <v>10.9</v>
      </c>
      <c r="J156" s="20">
        <v>1.00041063</v>
      </c>
    </row>
    <row r="157" spans="1:10" x14ac:dyDescent="0.25">
      <c r="A157">
        <f t="shared" si="4"/>
        <v>2014</v>
      </c>
      <c r="B157">
        <f t="shared" si="5"/>
        <v>6</v>
      </c>
      <c r="C157" s="18">
        <v>41791</v>
      </c>
      <c r="D157" s="21">
        <v>0.86140000000000005</v>
      </c>
      <c r="E157" s="19">
        <f>SUM(D157:$D$292)</f>
        <v>37.861899999999984</v>
      </c>
      <c r="F157" s="19">
        <v>11</v>
      </c>
      <c r="G157" s="19">
        <v>5.19</v>
      </c>
      <c r="H157" s="19">
        <v>9.93</v>
      </c>
      <c r="I157" s="19">
        <v>10.9</v>
      </c>
      <c r="J157" s="20">
        <v>1.00041063</v>
      </c>
    </row>
    <row r="158" spans="1:10" x14ac:dyDescent="0.25">
      <c r="A158">
        <f t="shared" si="4"/>
        <v>2014</v>
      </c>
      <c r="B158">
        <f t="shared" si="5"/>
        <v>7</v>
      </c>
      <c r="C158" s="18">
        <v>41821</v>
      </c>
      <c r="D158" s="21">
        <v>0.89029999999999998</v>
      </c>
      <c r="E158" s="19">
        <f>SUM(D158:$D$292)</f>
        <v>37.000499999999988</v>
      </c>
      <c r="F158" s="19">
        <v>11</v>
      </c>
      <c r="G158" s="19">
        <v>6.13</v>
      </c>
      <c r="H158" s="19">
        <v>10.16</v>
      </c>
      <c r="I158" s="19">
        <v>10.9</v>
      </c>
      <c r="J158" s="20">
        <v>1.00041063</v>
      </c>
    </row>
    <row r="159" spans="1:10" x14ac:dyDescent="0.25">
      <c r="A159">
        <f t="shared" si="4"/>
        <v>2014</v>
      </c>
      <c r="B159">
        <f t="shared" si="5"/>
        <v>8</v>
      </c>
      <c r="C159" s="18">
        <v>41852</v>
      </c>
      <c r="D159" s="21">
        <v>0.89029999999999998</v>
      </c>
      <c r="E159" s="19">
        <f>SUM(D159:$D$292)</f>
        <v>36.110199999999992</v>
      </c>
      <c r="F159" s="19">
        <v>11</v>
      </c>
      <c r="G159" s="19">
        <v>7.08</v>
      </c>
      <c r="H159" s="19">
        <v>10.37</v>
      </c>
      <c r="I159" s="19">
        <v>10.9</v>
      </c>
      <c r="J159" s="20">
        <v>1.00041063</v>
      </c>
    </row>
    <row r="160" spans="1:10" x14ac:dyDescent="0.25">
      <c r="A160">
        <f t="shared" si="4"/>
        <v>2014</v>
      </c>
      <c r="B160">
        <f t="shared" si="5"/>
        <v>9</v>
      </c>
      <c r="C160" s="18">
        <v>41883</v>
      </c>
      <c r="D160" s="21">
        <v>0.86140000000000005</v>
      </c>
      <c r="E160" s="19">
        <f>SUM(D160:$D$292)</f>
        <v>35.219899999999988</v>
      </c>
      <c r="F160" s="19">
        <v>10.63</v>
      </c>
      <c r="G160" s="19">
        <v>8</v>
      </c>
      <c r="H160" s="19">
        <v>10.53</v>
      </c>
      <c r="I160" s="19">
        <v>10.9</v>
      </c>
      <c r="J160" s="20">
        <v>1.00041063</v>
      </c>
    </row>
    <row r="161" spans="1:10" x14ac:dyDescent="0.25">
      <c r="A161">
        <f t="shared" si="4"/>
        <v>2014</v>
      </c>
      <c r="B161">
        <f t="shared" si="5"/>
        <v>10</v>
      </c>
      <c r="C161" s="18">
        <v>41913</v>
      </c>
      <c r="D161" s="21">
        <v>0.89149999999999996</v>
      </c>
      <c r="E161" s="19">
        <f>SUM(D161:$D$292)</f>
        <v>34.358499999999999</v>
      </c>
      <c r="F161" s="19">
        <v>11.02</v>
      </c>
      <c r="G161" s="19">
        <v>8.9600000000000009</v>
      </c>
      <c r="H161" s="19">
        <v>10.67</v>
      </c>
      <c r="I161" s="19">
        <v>10.9</v>
      </c>
      <c r="J161" s="20">
        <v>1.00041063</v>
      </c>
    </row>
    <row r="162" spans="1:10" x14ac:dyDescent="0.25">
      <c r="A162">
        <f t="shared" si="4"/>
        <v>2014</v>
      </c>
      <c r="B162">
        <f t="shared" si="5"/>
        <v>11</v>
      </c>
      <c r="C162" s="18">
        <v>41944</v>
      </c>
      <c r="D162" s="21">
        <v>0.88009999999999999</v>
      </c>
      <c r="E162" s="19">
        <f>SUM(D162:$D$292)</f>
        <v>33.466999999999999</v>
      </c>
      <c r="F162" s="19">
        <v>10.87</v>
      </c>
      <c r="G162" s="19">
        <v>9.92</v>
      </c>
      <c r="H162" s="19">
        <v>10.81</v>
      </c>
      <c r="I162" s="19">
        <v>11.15</v>
      </c>
      <c r="J162" s="20">
        <v>1.00041957</v>
      </c>
    </row>
    <row r="163" spans="1:10" x14ac:dyDescent="0.25">
      <c r="A163">
        <f t="shared" si="4"/>
        <v>2014</v>
      </c>
      <c r="B163">
        <f t="shared" si="5"/>
        <v>12</v>
      </c>
      <c r="C163" s="18">
        <v>41974</v>
      </c>
      <c r="D163" s="21">
        <v>0.94430000000000003</v>
      </c>
      <c r="E163" s="19">
        <f>SUM(D163:$D$292)</f>
        <v>32.5869</v>
      </c>
      <c r="F163" s="19">
        <v>11.7</v>
      </c>
      <c r="G163" s="19">
        <v>10.96</v>
      </c>
      <c r="H163" s="19">
        <v>10.96</v>
      </c>
      <c r="I163" s="19">
        <v>11.15</v>
      </c>
      <c r="J163" s="20">
        <v>1.00041957</v>
      </c>
    </row>
    <row r="164" spans="1:10" x14ac:dyDescent="0.25">
      <c r="A164">
        <f t="shared" si="4"/>
        <v>2015</v>
      </c>
      <c r="B164">
        <f t="shared" si="5"/>
        <v>1</v>
      </c>
      <c r="C164" s="18">
        <v>42005</v>
      </c>
      <c r="D164" s="21">
        <v>0.96040000000000003</v>
      </c>
      <c r="E164" s="19">
        <f>SUM(D164:$D$292)</f>
        <v>31.642599999999998</v>
      </c>
      <c r="F164" s="19">
        <v>11.91</v>
      </c>
      <c r="G164" s="19">
        <v>0.96</v>
      </c>
      <c r="H164" s="19">
        <v>11.1</v>
      </c>
      <c r="I164" s="19">
        <v>11.65</v>
      </c>
      <c r="J164" s="20">
        <v>1.0004373900000001</v>
      </c>
    </row>
    <row r="165" spans="1:10" x14ac:dyDescent="0.25">
      <c r="A165">
        <f t="shared" si="4"/>
        <v>2015</v>
      </c>
      <c r="B165">
        <f t="shared" si="5"/>
        <v>2</v>
      </c>
      <c r="C165" s="18">
        <v>42036</v>
      </c>
      <c r="D165" s="21">
        <v>0.89039999999999997</v>
      </c>
      <c r="E165" s="19">
        <f>SUM(D165:$D$292)</f>
        <v>30.682200000000002</v>
      </c>
      <c r="F165" s="19">
        <v>12.25</v>
      </c>
      <c r="G165" s="19">
        <v>1.86</v>
      </c>
      <c r="H165" s="19">
        <v>11.23</v>
      </c>
      <c r="I165" s="19">
        <v>12.15</v>
      </c>
      <c r="J165" s="20">
        <v>1.00045513</v>
      </c>
    </row>
    <row r="166" spans="1:10" x14ac:dyDescent="0.25">
      <c r="A166">
        <f t="shared" si="4"/>
        <v>2015</v>
      </c>
      <c r="B166">
        <f t="shared" si="5"/>
        <v>3</v>
      </c>
      <c r="C166" s="18">
        <v>42064</v>
      </c>
      <c r="D166" s="21">
        <v>1.0195000000000001</v>
      </c>
      <c r="E166" s="19">
        <f>SUM(D166:$D$292)</f>
        <v>29.791799999999999</v>
      </c>
      <c r="F166" s="19">
        <v>12.75</v>
      </c>
      <c r="G166" s="19">
        <v>2.9</v>
      </c>
      <c r="H166" s="19">
        <v>11.4</v>
      </c>
      <c r="I166" s="19">
        <v>12.15</v>
      </c>
      <c r="J166" s="20">
        <v>1.00045513</v>
      </c>
    </row>
    <row r="167" spans="1:10" x14ac:dyDescent="0.25">
      <c r="A167">
        <f t="shared" si="4"/>
        <v>2015</v>
      </c>
      <c r="B167">
        <f t="shared" si="5"/>
        <v>4</v>
      </c>
      <c r="C167" s="18">
        <v>42095</v>
      </c>
      <c r="D167" s="21">
        <v>0.99239999999999995</v>
      </c>
      <c r="E167" s="19">
        <f>SUM(D167:$D$292)</f>
        <v>28.772300000000005</v>
      </c>
      <c r="F167" s="19">
        <v>12.77</v>
      </c>
      <c r="G167" s="19">
        <v>3.92</v>
      </c>
      <c r="H167" s="19">
        <v>11.54</v>
      </c>
      <c r="I167" s="19">
        <v>12.65</v>
      </c>
      <c r="J167" s="20">
        <v>1.0004727899999999</v>
      </c>
    </row>
    <row r="168" spans="1:10" x14ac:dyDescent="0.25">
      <c r="A168">
        <f t="shared" si="4"/>
        <v>2015</v>
      </c>
      <c r="B168">
        <f t="shared" si="5"/>
        <v>5</v>
      </c>
      <c r="C168" s="18">
        <v>42125</v>
      </c>
      <c r="D168" s="21">
        <v>1.0624</v>
      </c>
      <c r="E168" s="19">
        <f>SUM(D168:$D$292)</f>
        <v>27.779900000000001</v>
      </c>
      <c r="F168" s="19">
        <v>13.25</v>
      </c>
      <c r="G168" s="19">
        <v>5.0199999999999996</v>
      </c>
      <c r="H168" s="19">
        <v>11.73</v>
      </c>
      <c r="I168" s="19">
        <v>13.15</v>
      </c>
      <c r="J168" s="20">
        <v>1.0004903700000001</v>
      </c>
    </row>
    <row r="169" spans="1:10" x14ac:dyDescent="0.25">
      <c r="A169">
        <f t="shared" si="4"/>
        <v>2015</v>
      </c>
      <c r="B169">
        <f t="shared" si="5"/>
        <v>6</v>
      </c>
      <c r="C169" s="18">
        <v>42156</v>
      </c>
      <c r="D169" s="21">
        <v>1.0609</v>
      </c>
      <c r="E169" s="19">
        <f>SUM(D169:$D$292)</f>
        <v>26.717500000000005</v>
      </c>
      <c r="F169" s="19">
        <v>13.7</v>
      </c>
      <c r="G169" s="19">
        <v>6.14</v>
      </c>
      <c r="H169" s="19">
        <v>11.95</v>
      </c>
      <c r="I169" s="19">
        <v>13.15</v>
      </c>
      <c r="J169" s="20">
        <v>1.0004903700000001</v>
      </c>
    </row>
    <row r="170" spans="1:10" x14ac:dyDescent="0.25">
      <c r="A170">
        <f t="shared" si="4"/>
        <v>2015</v>
      </c>
      <c r="B170">
        <f t="shared" si="5"/>
        <v>7</v>
      </c>
      <c r="C170" s="18">
        <v>42186</v>
      </c>
      <c r="D170" s="21">
        <v>1.1026</v>
      </c>
      <c r="E170" s="19">
        <f>SUM(D170:$D$292)</f>
        <v>25.656600000000005</v>
      </c>
      <c r="F170" s="19">
        <v>13.78</v>
      </c>
      <c r="G170" s="19">
        <v>7.31</v>
      </c>
      <c r="H170" s="19">
        <v>12.19</v>
      </c>
      <c r="I170" s="19">
        <v>13.65</v>
      </c>
      <c r="J170" s="20">
        <v>1.00050788</v>
      </c>
    </row>
    <row r="171" spans="1:10" x14ac:dyDescent="0.25">
      <c r="A171">
        <f t="shared" si="4"/>
        <v>2015</v>
      </c>
      <c r="B171">
        <f t="shared" si="5"/>
        <v>8</v>
      </c>
      <c r="C171" s="18">
        <v>42217</v>
      </c>
      <c r="D171" s="21">
        <v>1.1378999999999999</v>
      </c>
      <c r="E171" s="19">
        <f>SUM(D171:$D$292)</f>
        <v>24.554000000000006</v>
      </c>
      <c r="F171" s="19">
        <v>14.25</v>
      </c>
      <c r="G171" s="19">
        <v>8.5299999999999994</v>
      </c>
      <c r="H171" s="19">
        <v>12.46</v>
      </c>
      <c r="I171" s="19">
        <v>14.15</v>
      </c>
      <c r="J171" s="20">
        <v>1.00052531</v>
      </c>
    </row>
    <row r="172" spans="1:10" x14ac:dyDescent="0.25">
      <c r="A172">
        <f t="shared" si="4"/>
        <v>2015</v>
      </c>
      <c r="B172">
        <f t="shared" si="5"/>
        <v>9</v>
      </c>
      <c r="C172" s="18">
        <v>42248</v>
      </c>
      <c r="D172" s="21">
        <v>1.101</v>
      </c>
      <c r="E172" s="19">
        <f>SUM(D172:$D$292)</f>
        <v>23.416100000000007</v>
      </c>
      <c r="F172" s="19">
        <v>14.25</v>
      </c>
      <c r="G172" s="19">
        <v>9.7200000000000006</v>
      </c>
      <c r="H172" s="19">
        <v>12.73</v>
      </c>
      <c r="I172" s="19">
        <v>14.15</v>
      </c>
      <c r="J172" s="20">
        <v>1.00052531</v>
      </c>
    </row>
    <row r="173" spans="1:10" x14ac:dyDescent="0.25">
      <c r="A173">
        <f t="shared" si="4"/>
        <v>2015</v>
      </c>
      <c r="B173">
        <f t="shared" si="5"/>
        <v>10</v>
      </c>
      <c r="C173" s="18">
        <v>42278</v>
      </c>
      <c r="D173" s="21">
        <v>1.1378999999999999</v>
      </c>
      <c r="E173" s="19">
        <f>SUM(D173:$D$292)</f>
        <v>22.315100000000005</v>
      </c>
      <c r="F173" s="19">
        <v>14.25</v>
      </c>
      <c r="G173" s="19">
        <v>10.97</v>
      </c>
      <c r="H173" s="19">
        <v>13.01</v>
      </c>
      <c r="I173" s="19">
        <v>14.15</v>
      </c>
      <c r="J173" s="20">
        <v>1.00052531</v>
      </c>
    </row>
    <row r="174" spans="1:10" x14ac:dyDescent="0.25">
      <c r="A174">
        <f t="shared" si="4"/>
        <v>2015</v>
      </c>
      <c r="B174">
        <f t="shared" si="5"/>
        <v>11</v>
      </c>
      <c r="C174" s="18">
        <v>42309</v>
      </c>
      <c r="D174" s="21">
        <v>1.101</v>
      </c>
      <c r="E174" s="19">
        <f>SUM(D174:$D$292)</f>
        <v>21.177200000000003</v>
      </c>
      <c r="F174" s="19">
        <v>14.25</v>
      </c>
      <c r="G174" s="19">
        <v>12.19</v>
      </c>
      <c r="H174" s="19">
        <v>13.25</v>
      </c>
      <c r="I174" s="19">
        <v>14.15</v>
      </c>
      <c r="J174" s="20">
        <v>1.00052531</v>
      </c>
    </row>
    <row r="175" spans="1:10" x14ac:dyDescent="0.25">
      <c r="A175">
        <f t="shared" si="4"/>
        <v>2015</v>
      </c>
      <c r="B175">
        <f t="shared" si="5"/>
        <v>12</v>
      </c>
      <c r="C175" s="18">
        <v>42339</v>
      </c>
      <c r="D175" s="21">
        <v>1.1378999999999999</v>
      </c>
      <c r="E175" s="19">
        <f>SUM(D175:$D$292)</f>
        <v>20.076200000000004</v>
      </c>
      <c r="F175" s="19">
        <v>14.25</v>
      </c>
      <c r="G175" s="19">
        <v>13.47</v>
      </c>
      <c r="H175" s="19">
        <v>13.47</v>
      </c>
      <c r="I175" s="19">
        <v>14.15</v>
      </c>
      <c r="J175" s="20">
        <v>1.00052531</v>
      </c>
    </row>
    <row r="176" spans="1:10" x14ac:dyDescent="0.25">
      <c r="A176">
        <f t="shared" si="4"/>
        <v>2016</v>
      </c>
      <c r="B176">
        <f t="shared" si="5"/>
        <v>1</v>
      </c>
      <c r="C176" s="18">
        <v>42370</v>
      </c>
      <c r="D176" s="21">
        <v>1.1347</v>
      </c>
      <c r="E176" s="19">
        <f>SUM(D176:$D$292)</f>
        <v>18.938300000000002</v>
      </c>
      <c r="F176" s="19">
        <v>14.25</v>
      </c>
      <c r="G176" s="19">
        <v>1.1299999999999999</v>
      </c>
      <c r="H176" s="19">
        <v>13.67</v>
      </c>
      <c r="I176" s="19">
        <v>14.15</v>
      </c>
      <c r="J176" s="20">
        <v>1.00052531</v>
      </c>
    </row>
    <row r="177" spans="1:10" x14ac:dyDescent="0.25">
      <c r="A177">
        <f t="shared" si="4"/>
        <v>2016</v>
      </c>
      <c r="B177">
        <f t="shared" si="5"/>
        <v>2</v>
      </c>
      <c r="C177" s="18">
        <v>42401</v>
      </c>
      <c r="D177" s="21">
        <v>1.0610999999999999</v>
      </c>
      <c r="E177" s="19">
        <f>SUM(D177:$D$292)</f>
        <v>17.803599999999999</v>
      </c>
      <c r="F177" s="19">
        <v>14.25</v>
      </c>
      <c r="G177" s="19">
        <v>2.21</v>
      </c>
      <c r="H177" s="19">
        <v>13.86</v>
      </c>
      <c r="I177" s="19">
        <v>14.15</v>
      </c>
      <c r="J177" s="20">
        <v>1.00052531</v>
      </c>
    </row>
    <row r="178" spans="1:10" x14ac:dyDescent="0.25">
      <c r="A178">
        <f t="shared" si="4"/>
        <v>2016</v>
      </c>
      <c r="B178">
        <f t="shared" si="5"/>
        <v>3</v>
      </c>
      <c r="C178" s="18">
        <v>42430</v>
      </c>
      <c r="D178" s="21">
        <v>1.1347</v>
      </c>
      <c r="E178" s="19">
        <f>SUM(D178:$D$292)</f>
        <v>16.7425</v>
      </c>
      <c r="F178" s="19">
        <v>14.25</v>
      </c>
      <c r="G178" s="19">
        <v>3.37</v>
      </c>
      <c r="H178" s="19">
        <v>13.99</v>
      </c>
      <c r="I178" s="19">
        <v>14.15</v>
      </c>
      <c r="J178" s="20">
        <v>1.00052531</v>
      </c>
    </row>
    <row r="179" spans="1:10" x14ac:dyDescent="0.25">
      <c r="A179">
        <f t="shared" si="4"/>
        <v>2016</v>
      </c>
      <c r="B179">
        <f t="shared" si="5"/>
        <v>4</v>
      </c>
      <c r="C179" s="18">
        <v>42461</v>
      </c>
      <c r="D179" s="21">
        <v>1.0979000000000001</v>
      </c>
      <c r="E179" s="19">
        <f>SUM(D179:$D$292)</f>
        <v>15.607800000000003</v>
      </c>
      <c r="F179" s="19">
        <v>14.25</v>
      </c>
      <c r="G179" s="19">
        <v>4.5</v>
      </c>
      <c r="H179" s="19">
        <v>14.11</v>
      </c>
      <c r="I179" s="19">
        <v>14.15</v>
      </c>
      <c r="J179" s="20">
        <v>1.00052531</v>
      </c>
    </row>
    <row r="180" spans="1:10" x14ac:dyDescent="0.25">
      <c r="A180">
        <f t="shared" si="4"/>
        <v>2016</v>
      </c>
      <c r="B180">
        <f t="shared" si="5"/>
        <v>5</v>
      </c>
      <c r="C180" s="18">
        <v>42491</v>
      </c>
      <c r="D180" s="21">
        <v>1.1347</v>
      </c>
      <c r="E180" s="19">
        <f>SUM(D180:$D$292)</f>
        <v>14.509900000000004</v>
      </c>
      <c r="F180" s="19">
        <v>14.25</v>
      </c>
      <c r="G180" s="19">
        <v>5.69</v>
      </c>
      <c r="H180" s="19">
        <v>14.19</v>
      </c>
      <c r="I180" s="19">
        <v>14.15</v>
      </c>
      <c r="J180" s="20">
        <v>1.00052531</v>
      </c>
    </row>
    <row r="181" spans="1:10" x14ac:dyDescent="0.25">
      <c r="A181">
        <f t="shared" si="4"/>
        <v>2016</v>
      </c>
      <c r="B181">
        <f t="shared" si="5"/>
        <v>6</v>
      </c>
      <c r="C181" s="18">
        <v>42522</v>
      </c>
      <c r="D181" s="21">
        <v>1.0979000000000001</v>
      </c>
      <c r="E181" s="19">
        <f>SUM(D181:$D$292)</f>
        <v>13.375200000000001</v>
      </c>
      <c r="F181" s="19">
        <v>14.25</v>
      </c>
      <c r="G181" s="19">
        <v>6.85</v>
      </c>
      <c r="H181" s="19">
        <v>14.23</v>
      </c>
      <c r="I181" s="19">
        <v>14.15</v>
      </c>
      <c r="J181" s="20">
        <v>1.00052531</v>
      </c>
    </row>
    <row r="182" spans="1:10" x14ac:dyDescent="0.25">
      <c r="A182">
        <f t="shared" si="4"/>
        <v>2016</v>
      </c>
      <c r="B182">
        <f t="shared" si="5"/>
        <v>7</v>
      </c>
      <c r="C182" s="18">
        <v>42552</v>
      </c>
      <c r="D182" s="21">
        <v>1.1347</v>
      </c>
      <c r="E182" s="19">
        <f>SUM(D182:$D$292)</f>
        <v>12.2773</v>
      </c>
      <c r="F182" s="19">
        <v>14.25</v>
      </c>
      <c r="G182" s="19">
        <v>8.06</v>
      </c>
      <c r="H182" s="19">
        <v>14.27</v>
      </c>
      <c r="I182" s="19">
        <v>14.15</v>
      </c>
      <c r="J182" s="20">
        <v>1.00052531</v>
      </c>
    </row>
    <row r="183" spans="1:10" x14ac:dyDescent="0.25">
      <c r="A183">
        <f t="shared" si="4"/>
        <v>2016</v>
      </c>
      <c r="B183">
        <f t="shared" si="5"/>
        <v>8</v>
      </c>
      <c r="C183" s="18">
        <v>42583</v>
      </c>
      <c r="D183" s="21">
        <v>1.1347</v>
      </c>
      <c r="E183" s="19">
        <f>SUM(D183:$D$292)</f>
        <v>11.142600000000002</v>
      </c>
      <c r="F183" s="19">
        <v>14.25</v>
      </c>
      <c r="G183" s="19">
        <v>9.2899999999999991</v>
      </c>
      <c r="H183" s="19">
        <v>14.26</v>
      </c>
      <c r="I183" s="19">
        <v>14.15</v>
      </c>
      <c r="J183" s="20">
        <v>1.00052531</v>
      </c>
    </row>
    <row r="184" spans="1:10" x14ac:dyDescent="0.25">
      <c r="A184">
        <f t="shared" si="4"/>
        <v>2016</v>
      </c>
      <c r="B184">
        <f t="shared" si="5"/>
        <v>9</v>
      </c>
      <c r="C184" s="18">
        <v>42614</v>
      </c>
      <c r="D184" s="21">
        <v>1.0979000000000001</v>
      </c>
      <c r="E184" s="19">
        <f>SUM(D184:$D$292)</f>
        <v>10.007900000000001</v>
      </c>
      <c r="F184" s="19">
        <v>14.25</v>
      </c>
      <c r="G184" s="19">
        <v>10.49</v>
      </c>
      <c r="H184" s="19">
        <v>14.26</v>
      </c>
      <c r="I184" s="19">
        <v>14.15</v>
      </c>
      <c r="J184" s="20">
        <v>1.00052531</v>
      </c>
    </row>
    <row r="185" spans="1:10" x14ac:dyDescent="0.25">
      <c r="A185">
        <f t="shared" si="4"/>
        <v>2016</v>
      </c>
      <c r="B185">
        <f t="shared" si="5"/>
        <v>10</v>
      </c>
      <c r="C185" s="18">
        <v>42644</v>
      </c>
      <c r="D185" s="21">
        <v>1.1274999999999999</v>
      </c>
      <c r="E185" s="19">
        <f>SUM(D185:$D$292)</f>
        <v>8.91</v>
      </c>
      <c r="F185" s="19">
        <v>14.15</v>
      </c>
      <c r="G185" s="19">
        <v>11.73</v>
      </c>
      <c r="H185" s="19">
        <v>14.25</v>
      </c>
      <c r="I185" s="19">
        <v>14.15</v>
      </c>
      <c r="J185" s="20">
        <v>1.00052531</v>
      </c>
    </row>
    <row r="186" spans="1:10" x14ac:dyDescent="0.25">
      <c r="A186">
        <f t="shared" si="4"/>
        <v>2016</v>
      </c>
      <c r="B186">
        <f t="shared" si="5"/>
        <v>11</v>
      </c>
      <c r="C186" s="18">
        <v>42675</v>
      </c>
      <c r="D186" s="21">
        <v>1.0798000000000001</v>
      </c>
      <c r="E186" s="19">
        <f>SUM(D186:$D$292)</f>
        <v>7.7824999999999998</v>
      </c>
      <c r="F186" s="19">
        <v>14</v>
      </c>
      <c r="G186" s="19">
        <v>12.94</v>
      </c>
      <c r="H186" s="19">
        <v>14.22</v>
      </c>
      <c r="I186" s="19">
        <v>13.9</v>
      </c>
      <c r="J186" s="20">
        <v>1.0005166000000001</v>
      </c>
    </row>
    <row r="187" spans="1:10" x14ac:dyDescent="0.25">
      <c r="A187">
        <f t="shared" si="4"/>
        <v>2016</v>
      </c>
      <c r="B187">
        <f t="shared" si="5"/>
        <v>12</v>
      </c>
      <c r="C187" s="18">
        <v>42705</v>
      </c>
      <c r="D187" s="21">
        <v>1.0972</v>
      </c>
      <c r="E187" s="19">
        <f>SUM(D187:$D$292)</f>
        <v>6.7026999999999992</v>
      </c>
      <c r="F187" s="19">
        <v>13.75</v>
      </c>
      <c r="G187" s="19">
        <v>14.18</v>
      </c>
      <c r="H187" s="19">
        <v>14.18</v>
      </c>
      <c r="I187" s="19">
        <v>13.65</v>
      </c>
      <c r="J187" s="20">
        <v>1.00050788</v>
      </c>
    </row>
    <row r="188" spans="1:10" x14ac:dyDescent="0.25">
      <c r="A188">
        <f t="shared" si="4"/>
        <v>2017</v>
      </c>
      <c r="B188">
        <f t="shared" si="5"/>
        <v>1</v>
      </c>
      <c r="C188" s="18">
        <v>42736</v>
      </c>
      <c r="D188" s="21">
        <v>1.0636000000000001</v>
      </c>
      <c r="E188" s="19">
        <f>SUM(D188:$D$292)</f>
        <v>5.6055000000000001</v>
      </c>
      <c r="F188" s="19">
        <v>13.27</v>
      </c>
      <c r="G188" s="19">
        <v>1.06</v>
      </c>
      <c r="H188" s="19">
        <v>14.1</v>
      </c>
      <c r="I188" s="19">
        <v>13.65</v>
      </c>
      <c r="J188" s="20">
        <v>1.00050788</v>
      </c>
    </row>
    <row r="189" spans="1:10" x14ac:dyDescent="0.25">
      <c r="A189">
        <f t="shared" si="4"/>
        <v>2017</v>
      </c>
      <c r="B189">
        <f t="shared" si="5"/>
        <v>2</v>
      </c>
      <c r="C189" s="18">
        <v>42767</v>
      </c>
      <c r="D189" s="21">
        <v>0.93089999999999995</v>
      </c>
      <c r="E189" s="19">
        <f>SUM(D189:$D$292)</f>
        <v>4.5419</v>
      </c>
      <c r="F189" s="19">
        <v>12.84</v>
      </c>
      <c r="G189" s="19">
        <v>2</v>
      </c>
      <c r="H189" s="19">
        <v>13.99</v>
      </c>
      <c r="I189" s="19">
        <v>12.9</v>
      </c>
      <c r="J189" s="20">
        <v>1.0004815899999999</v>
      </c>
    </row>
    <row r="190" spans="1:10" x14ac:dyDescent="0.25">
      <c r="A190">
        <f t="shared" si="4"/>
        <v>2017</v>
      </c>
      <c r="B190">
        <f t="shared" si="5"/>
        <v>3</v>
      </c>
      <c r="C190" s="18">
        <v>42795</v>
      </c>
      <c r="D190" s="21">
        <v>0.98629999999999995</v>
      </c>
      <c r="E190" s="19">
        <f>SUM(D190:$D$292)</f>
        <v>3.6109999999999998</v>
      </c>
      <c r="F190" s="19">
        <v>12.25</v>
      </c>
      <c r="G190" s="19">
        <v>3.01</v>
      </c>
      <c r="H190" s="19">
        <v>13.78</v>
      </c>
      <c r="I190" s="19">
        <v>12.15</v>
      </c>
      <c r="J190" s="20">
        <v>1.00045513</v>
      </c>
    </row>
    <row r="191" spans="1:10" x14ac:dyDescent="0.25">
      <c r="A191">
        <f t="shared" si="4"/>
        <v>2017</v>
      </c>
      <c r="B191">
        <f t="shared" si="5"/>
        <v>4</v>
      </c>
      <c r="C191" s="18">
        <v>42826</v>
      </c>
      <c r="D191" s="21">
        <v>0.90980000000000005</v>
      </c>
      <c r="E191" s="19">
        <f>SUM(D191:$D$292)</f>
        <v>2.6246999999999998</v>
      </c>
      <c r="F191" s="19">
        <v>11.65</v>
      </c>
      <c r="G191" s="19">
        <v>3.95</v>
      </c>
      <c r="H191" s="19">
        <v>13.57</v>
      </c>
      <c r="I191" s="19">
        <v>12.15</v>
      </c>
      <c r="J191" s="20">
        <v>1.00045513</v>
      </c>
    </row>
    <row r="192" spans="1:10" x14ac:dyDescent="0.25">
      <c r="A192">
        <f t="shared" si="4"/>
        <v>2017</v>
      </c>
      <c r="B192">
        <f t="shared" si="5"/>
        <v>5</v>
      </c>
      <c r="C192" s="18">
        <v>42856</v>
      </c>
      <c r="D192" s="21">
        <v>0.90959999999999996</v>
      </c>
      <c r="E192" s="19">
        <f>SUM(D192:$D$292)</f>
        <v>1.7149000000000001</v>
      </c>
      <c r="F192" s="19">
        <v>11.25</v>
      </c>
      <c r="G192" s="19">
        <v>4.8899999999999997</v>
      </c>
      <c r="H192" s="19">
        <v>13.32</v>
      </c>
      <c r="I192" s="19">
        <v>11.15</v>
      </c>
      <c r="J192" s="20">
        <v>1.00041957</v>
      </c>
    </row>
    <row r="193" spans="1:10" x14ac:dyDescent="0.25">
      <c r="A193">
        <f t="shared" ref="A193:A198" si="6">YEAR(C193)</f>
        <v>2017</v>
      </c>
      <c r="B193">
        <f t="shared" ref="B193:B198" si="7">MONTH(C193)</f>
        <v>6</v>
      </c>
      <c r="C193" s="18">
        <v>42887</v>
      </c>
      <c r="D193" s="21">
        <v>0.80530000000000002</v>
      </c>
      <c r="E193" s="19">
        <f>SUM(D193:$D$292)</f>
        <v>0.80530000000000002</v>
      </c>
      <c r="F193" s="19"/>
      <c r="G193" s="19"/>
      <c r="H193" s="19"/>
      <c r="I193" s="19"/>
      <c r="J193" s="20"/>
    </row>
    <row r="194" spans="1:10" x14ac:dyDescent="0.25">
      <c r="A194">
        <f t="shared" si="6"/>
        <v>2017</v>
      </c>
      <c r="B194">
        <f t="shared" si="7"/>
        <v>7</v>
      </c>
      <c r="C194" s="18">
        <v>42917</v>
      </c>
      <c r="D194" s="21"/>
      <c r="E194" s="19">
        <f>SUM(D194:$D$292)</f>
        <v>0</v>
      </c>
      <c r="F194" s="19"/>
      <c r="G194" s="19"/>
      <c r="H194" s="19"/>
      <c r="I194" s="19"/>
      <c r="J194" s="20"/>
    </row>
    <row r="195" spans="1:10" x14ac:dyDescent="0.25">
      <c r="A195">
        <f t="shared" si="6"/>
        <v>2017</v>
      </c>
      <c r="B195">
        <f t="shared" si="7"/>
        <v>8</v>
      </c>
      <c r="C195" s="18">
        <v>42948</v>
      </c>
      <c r="D195" s="21"/>
      <c r="E195" s="19">
        <f>SUM(D195:$D$292)</f>
        <v>0</v>
      </c>
      <c r="F195" s="19"/>
      <c r="G195" s="19"/>
      <c r="H195" s="19"/>
      <c r="I195" s="19"/>
      <c r="J195" s="20"/>
    </row>
    <row r="196" spans="1:10" x14ac:dyDescent="0.25">
      <c r="A196">
        <f t="shared" si="6"/>
        <v>2017</v>
      </c>
      <c r="B196">
        <f t="shared" si="7"/>
        <v>9</v>
      </c>
      <c r="C196" s="18">
        <v>42979</v>
      </c>
      <c r="D196" s="21"/>
      <c r="E196" s="19">
        <f>SUM(D196:$D$292)</f>
        <v>0</v>
      </c>
      <c r="F196" s="19"/>
      <c r="G196" s="19"/>
      <c r="H196" s="19"/>
      <c r="I196" s="19"/>
      <c r="J196" s="20"/>
    </row>
    <row r="197" spans="1:10" x14ac:dyDescent="0.25">
      <c r="A197">
        <f t="shared" si="6"/>
        <v>2017</v>
      </c>
      <c r="B197">
        <f t="shared" si="7"/>
        <v>10</v>
      </c>
      <c r="C197" s="18">
        <v>43009</v>
      </c>
      <c r="D197" s="21"/>
      <c r="E197" s="19">
        <f>SUM(D197:$D$292)</f>
        <v>0</v>
      </c>
      <c r="F197" s="19"/>
      <c r="G197" s="19"/>
      <c r="H197" s="19"/>
      <c r="I197" s="19"/>
      <c r="J197" s="20"/>
    </row>
    <row r="198" spans="1:10" x14ac:dyDescent="0.25">
      <c r="A198">
        <f t="shared" si="6"/>
        <v>2017</v>
      </c>
      <c r="B198">
        <f t="shared" si="7"/>
        <v>11</v>
      </c>
      <c r="C198" s="18">
        <v>43040</v>
      </c>
      <c r="D198" s="21"/>
      <c r="E198" s="19">
        <f>SUM(D198:$D$292)</f>
        <v>0</v>
      </c>
      <c r="F198" s="19"/>
      <c r="G198" s="19"/>
      <c r="H198" s="19"/>
      <c r="I198" s="19"/>
      <c r="J198" s="20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Inicio</vt:lpstr>
      <vt:lpstr>Simulação PERT</vt:lpstr>
      <vt:lpstr>Extrato</vt:lpstr>
      <vt:lpstr>Mestres</vt:lpstr>
      <vt:lpstr>Selic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Gilvan Sousa Marques Junior</dc:creator>
  <cp:lastModifiedBy>Gilvan Sousa Marques Junior</cp:lastModifiedBy>
  <cp:lastPrinted>2017-07-18T14:14:38Z</cp:lastPrinted>
  <dcterms:created xsi:type="dcterms:W3CDTF">2017-06-29T12:48:08Z</dcterms:created>
  <dcterms:modified xsi:type="dcterms:W3CDTF">2017-07-21T01:39:22Z</dcterms:modified>
</cp:coreProperties>
</file>